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28755" windowHeight="12810" tabRatio="187" firstSheet="1" activeTab="1"/>
  </bookViews>
  <sheets>
    <sheet name="Riazi and Daubert method" sheetId="1" r:id="rId1"/>
    <sheet name="Daubert method" sheetId="2" r:id="rId2"/>
    <sheet name="Sheet3" sheetId="3" r:id="rId3"/>
    <sheet name="Sheet4" sheetId="4" r:id="rId4"/>
  </sheets>
  <calcPr calcId="125725"/>
</workbook>
</file>

<file path=xl/calcChain.xml><?xml version="1.0" encoding="utf-8"?>
<calcChain xmlns="http://schemas.openxmlformats.org/spreadsheetml/2006/main">
  <c r="E12" i="3"/>
  <c r="F12"/>
  <c r="L19"/>
  <c r="L20"/>
  <c r="L21"/>
  <c r="L22"/>
  <c r="L23"/>
  <c r="L24"/>
  <c r="L18"/>
  <c r="J12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6"/>
  <c r="E33"/>
  <c r="F11"/>
  <c r="F10"/>
  <c r="F9"/>
  <c r="H8"/>
  <c r="F8"/>
  <c r="F7"/>
  <c r="F6"/>
  <c r="F5"/>
  <c r="Z66" i="2"/>
  <c r="Z67"/>
  <c r="Z68"/>
  <c r="AB6"/>
  <c r="AB22"/>
  <c r="AB23"/>
  <c r="AB5"/>
  <c r="AA6"/>
  <c r="AA7" s="1"/>
  <c r="Y63"/>
  <c r="Z63" s="1"/>
  <c r="Y64"/>
  <c r="Z64" s="1"/>
  <c r="Y62"/>
  <c r="Z62" s="1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"/>
  <c r="E33"/>
  <c r="I8"/>
  <c r="I9" s="1"/>
  <c r="H8"/>
  <c r="F11"/>
  <c r="F10"/>
  <c r="E19" s="1"/>
  <c r="F9"/>
  <c r="G9" s="1"/>
  <c r="H9" s="1"/>
  <c r="F8"/>
  <c r="F7"/>
  <c r="F6"/>
  <c r="E17" s="1"/>
  <c r="F5"/>
  <c r="F6" i="1"/>
  <c r="G6" s="1"/>
  <c r="H6" s="1"/>
  <c r="I6" s="1"/>
  <c r="F7"/>
  <c r="G7" s="1"/>
  <c r="F8"/>
  <c r="F9"/>
  <c r="G9" s="1"/>
  <c r="H9" s="1"/>
  <c r="I9" s="1"/>
  <c r="F10"/>
  <c r="F11"/>
  <c r="F5"/>
  <c r="G5" s="1"/>
  <c r="G10" l="1"/>
  <c r="H10" s="1"/>
  <c r="I10" s="1"/>
  <c r="G8"/>
  <c r="H8" s="1"/>
  <c r="I8" s="1"/>
  <c r="G11"/>
  <c r="H11" s="1"/>
  <c r="I11" s="1"/>
  <c r="G9" i="3"/>
  <c r="H9" s="1"/>
  <c r="J9" i="2"/>
  <c r="AA8"/>
  <c r="AB7"/>
  <c r="E25"/>
  <c r="E29" s="1"/>
  <c r="E35" s="1"/>
  <c r="X18" s="1"/>
  <c r="Y18" s="1"/>
  <c r="G17"/>
  <c r="J8"/>
  <c r="Z65"/>
  <c r="Z71" s="1"/>
  <c r="X9"/>
  <c r="Y9" s="1"/>
  <c r="X43"/>
  <c r="Y43" s="1"/>
  <c r="X34"/>
  <c r="Y34" s="1"/>
  <c r="X50"/>
  <c r="Y50" s="1"/>
  <c r="X42"/>
  <c r="Y42" s="1"/>
  <c r="X13"/>
  <c r="Y13" s="1"/>
  <c r="X37"/>
  <c r="Y37" s="1"/>
  <c r="X53"/>
  <c r="Y53" s="1"/>
  <c r="X29"/>
  <c r="Y29" s="1"/>
  <c r="X10"/>
  <c r="Y10" s="1"/>
  <c r="X36"/>
  <c r="Y36" s="1"/>
  <c r="X51"/>
  <c r="Y51" s="1"/>
  <c r="X28"/>
  <c r="Y28" s="1"/>
  <c r="X45"/>
  <c r="Y45" s="1"/>
  <c r="X26"/>
  <c r="Y26" s="1"/>
  <c r="X44"/>
  <c r="Y44" s="1"/>
  <c r="G29"/>
  <c r="H7" i="1"/>
  <c r="I7" s="1"/>
  <c r="H5"/>
  <c r="I5" s="1"/>
  <c r="G7" i="3"/>
  <c r="H7" s="1"/>
  <c r="E17"/>
  <c r="G17" s="1"/>
  <c r="G6"/>
  <c r="H6" s="1"/>
  <c r="G5"/>
  <c r="H5" s="1"/>
  <c r="E19"/>
  <c r="I8"/>
  <c r="J8" s="1"/>
  <c r="K21" s="1"/>
  <c r="G10"/>
  <c r="H10" s="1"/>
  <c r="G11"/>
  <c r="H11" s="1"/>
  <c r="X35" i="2"/>
  <c r="Y35" s="1"/>
  <c r="X27"/>
  <c r="Y27" s="1"/>
  <c r="X19"/>
  <c r="Y19" s="1"/>
  <c r="X11"/>
  <c r="Y11" s="1"/>
  <c r="X20"/>
  <c r="Y20" s="1"/>
  <c r="X12"/>
  <c r="Y12" s="1"/>
  <c r="X46"/>
  <c r="Y46" s="1"/>
  <c r="X38"/>
  <c r="Y38" s="1"/>
  <c r="X30"/>
  <c r="Y30" s="1"/>
  <c r="X22"/>
  <c r="Y22" s="1"/>
  <c r="X14"/>
  <c r="Y14" s="1"/>
  <c r="X6"/>
  <c r="Y6" s="1"/>
  <c r="X55"/>
  <c r="Y55" s="1"/>
  <c r="X39"/>
  <c r="Y39" s="1"/>
  <c r="X31"/>
  <c r="Y31" s="1"/>
  <c r="X23"/>
  <c r="Y23" s="1"/>
  <c r="X15"/>
  <c r="Y15" s="1"/>
  <c r="X7"/>
  <c r="Y7" s="1"/>
  <c r="X5"/>
  <c r="Y5" s="1"/>
  <c r="X48"/>
  <c r="Y48" s="1"/>
  <c r="X32"/>
  <c r="Y32" s="1"/>
  <c r="X24"/>
  <c r="Y24" s="1"/>
  <c r="X16"/>
  <c r="Y16" s="1"/>
  <c r="X8"/>
  <c r="Y8" s="1"/>
  <c r="X49"/>
  <c r="Y49" s="1"/>
  <c r="X41"/>
  <c r="Y41" s="1"/>
  <c r="X33"/>
  <c r="Y33" s="1"/>
  <c r="X17"/>
  <c r="Y17" s="1"/>
  <c r="G7"/>
  <c r="H7" s="1"/>
  <c r="I7" s="1"/>
  <c r="G11"/>
  <c r="H11" s="1"/>
  <c r="G10"/>
  <c r="H10" s="1"/>
  <c r="I10" s="1"/>
  <c r="G6"/>
  <c r="H6" s="1"/>
  <c r="G5"/>
  <c r="H5" s="1"/>
  <c r="J10" l="1"/>
  <c r="I11"/>
  <c r="J11" s="1"/>
  <c r="I6"/>
  <c r="J7"/>
  <c r="AA9"/>
  <c r="AB8"/>
  <c r="X21"/>
  <c r="Y21" s="1"/>
  <c r="X25"/>
  <c r="Y25" s="1"/>
  <c r="X40"/>
  <c r="Y40" s="1"/>
  <c r="X47"/>
  <c r="Y47" s="1"/>
  <c r="X54"/>
  <c r="Y54" s="1"/>
  <c r="X52"/>
  <c r="Y52" s="1"/>
  <c r="E25" i="3"/>
  <c r="E29" s="1"/>
  <c r="E35" s="1"/>
  <c r="I9"/>
  <c r="J9" s="1"/>
  <c r="K22" s="1"/>
  <c r="I7"/>
  <c r="J7" s="1"/>
  <c r="K20" s="1"/>
  <c r="R9" l="1"/>
  <c r="S9" s="1"/>
  <c r="R17"/>
  <c r="S17" s="1"/>
  <c r="R25"/>
  <c r="S25" s="1"/>
  <c r="R33"/>
  <c r="S33" s="1"/>
  <c r="R41"/>
  <c r="S41" s="1"/>
  <c r="R49"/>
  <c r="S49" s="1"/>
  <c r="R6"/>
  <c r="S6" s="1"/>
  <c r="R8"/>
  <c r="S8" s="1"/>
  <c r="R16"/>
  <c r="S16" s="1"/>
  <c r="R24"/>
  <c r="S24" s="1"/>
  <c r="R32"/>
  <c r="S32" s="1"/>
  <c r="R40"/>
  <c r="S40" s="1"/>
  <c r="R48"/>
  <c r="S48" s="1"/>
  <c r="R56"/>
  <c r="S56" s="1"/>
  <c r="R54"/>
  <c r="S54" s="1"/>
  <c r="R7"/>
  <c r="S7" s="1"/>
  <c r="R15"/>
  <c r="S15" s="1"/>
  <c r="R23"/>
  <c r="S23" s="1"/>
  <c r="R31"/>
  <c r="S31" s="1"/>
  <c r="R39"/>
  <c r="S39" s="1"/>
  <c r="R47"/>
  <c r="S47" s="1"/>
  <c r="R55"/>
  <c r="S55" s="1"/>
  <c r="R38"/>
  <c r="S38" s="1"/>
  <c r="R14"/>
  <c r="S14" s="1"/>
  <c r="R22"/>
  <c r="S22" s="1"/>
  <c r="R30"/>
  <c r="S30" s="1"/>
  <c r="R46"/>
  <c r="S46" s="1"/>
  <c r="R13"/>
  <c r="S13" s="1"/>
  <c r="R21"/>
  <c r="S21" s="1"/>
  <c r="R29"/>
  <c r="S29" s="1"/>
  <c r="R37"/>
  <c r="S37" s="1"/>
  <c r="R45"/>
  <c r="S45" s="1"/>
  <c r="R53"/>
  <c r="S53" s="1"/>
  <c r="R12"/>
  <c r="S12" s="1"/>
  <c r="R20"/>
  <c r="S20" s="1"/>
  <c r="R28"/>
  <c r="S28" s="1"/>
  <c r="R36"/>
  <c r="S36" s="1"/>
  <c r="R44"/>
  <c r="S44" s="1"/>
  <c r="R52"/>
  <c r="S52" s="1"/>
  <c r="R11"/>
  <c r="S11" s="1"/>
  <c r="R19"/>
  <c r="S19" s="1"/>
  <c r="R27"/>
  <c r="S27" s="1"/>
  <c r="R35"/>
  <c r="S35" s="1"/>
  <c r="R43"/>
  <c r="S43" s="1"/>
  <c r="R51"/>
  <c r="S51" s="1"/>
  <c r="R10"/>
  <c r="S10" s="1"/>
  <c r="R18"/>
  <c r="S18" s="1"/>
  <c r="R26"/>
  <c r="S26" s="1"/>
  <c r="R34"/>
  <c r="S34" s="1"/>
  <c r="R42"/>
  <c r="S42" s="1"/>
  <c r="R50"/>
  <c r="S50" s="1"/>
  <c r="I5" i="2"/>
  <c r="J5" s="1"/>
  <c r="J6"/>
  <c r="AA10"/>
  <c r="AB9"/>
  <c r="G29" i="3"/>
  <c r="I10"/>
  <c r="J10" s="1"/>
  <c r="K23" s="1"/>
  <c r="I6"/>
  <c r="J6" s="1"/>
  <c r="K19" s="1"/>
  <c r="AA11" i="2" l="1"/>
  <c r="AB10"/>
  <c r="I11" i="3"/>
  <c r="J11" s="1"/>
  <c r="K24" s="1"/>
  <c r="I5"/>
  <c r="J5" s="1"/>
  <c r="K18" s="1"/>
  <c r="AA12" i="2" l="1"/>
  <c r="AB11"/>
  <c r="AA13" l="1"/>
  <c r="AB12"/>
  <c r="AA14" l="1"/>
  <c r="AB13"/>
  <c r="AA15" l="1"/>
  <c r="AB14"/>
  <c r="AA16" l="1"/>
  <c r="AB15"/>
  <c r="AA17" l="1"/>
  <c r="AB16"/>
  <c r="AA18" l="1"/>
  <c r="AB17"/>
  <c r="AB18" l="1"/>
  <c r="AA19"/>
  <c r="AA20" l="1"/>
  <c r="AB19"/>
  <c r="AA21" l="1"/>
  <c r="AB21" s="1"/>
  <c r="AB20"/>
</calcChain>
</file>

<file path=xl/sharedStrings.xml><?xml version="1.0" encoding="utf-8"?>
<sst xmlns="http://schemas.openxmlformats.org/spreadsheetml/2006/main" count="117" uniqueCount="51">
  <si>
    <t>Volume %</t>
  </si>
  <si>
    <t>distilled</t>
  </si>
  <si>
    <t>TBP</t>
  </si>
  <si>
    <t>oF</t>
  </si>
  <si>
    <t>a</t>
  </si>
  <si>
    <t>b</t>
  </si>
  <si>
    <t>Temp D86</t>
  </si>
  <si>
    <r>
      <rPr>
        <sz val="11"/>
        <color theme="1"/>
        <rFont val="Calibri"/>
        <family val="2"/>
      </rPr>
      <t>Δ</t>
    </r>
    <r>
      <rPr>
        <sz val="16.5"/>
        <color theme="1"/>
        <rFont val="Calibri"/>
        <family val="2"/>
      </rPr>
      <t>T</t>
    </r>
  </si>
  <si>
    <t>Index</t>
  </si>
  <si>
    <t>number, i</t>
  </si>
  <si>
    <r>
      <t>Δ</t>
    </r>
    <r>
      <rPr>
        <sz val="16.5"/>
        <color theme="1"/>
        <rFont val="Calibri"/>
        <family val="2"/>
      </rPr>
      <t>T'</t>
    </r>
  </si>
  <si>
    <t>Volume average boiling point (VABP)</t>
  </si>
  <si>
    <t>AVBP=</t>
  </si>
  <si>
    <t>SL = (T90-T10)/(90-10)</t>
  </si>
  <si>
    <r>
      <t xml:space="preserve">ln </t>
    </r>
    <r>
      <rPr>
        <sz val="11"/>
        <color theme="1"/>
        <rFont val="Calibri"/>
        <family val="2"/>
      </rPr>
      <t>Δ = -0.94402-0.00865(VABP-32)^0.6667+2.99791SL^0.333</t>
    </r>
  </si>
  <si>
    <t>Δ = EXP(-0.94402-0.00865(VABP-32)^0.6667+2.99791SL^0.333)</t>
  </si>
  <si>
    <t>Δ</t>
  </si>
  <si>
    <t>Mean average boiling point (MeABP)</t>
  </si>
  <si>
    <t>MeABP</t>
  </si>
  <si>
    <t>Specific gravity</t>
  </si>
  <si>
    <t>Watson characterization factor K</t>
  </si>
  <si>
    <t xml:space="preserve">Vol % </t>
  </si>
  <si>
    <t>Sp.Gr.</t>
  </si>
  <si>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 xml:space="preserve">API </t>
    </r>
  </si>
  <si>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F</t>
    </r>
  </si>
  <si>
    <r>
      <t>A</t>
    </r>
    <r>
      <rPr>
        <vertAlign val="subscript"/>
        <sz val="11"/>
        <color theme="1"/>
        <rFont val="Calibri"/>
        <family val="2"/>
        <scheme val="minor"/>
      </rPr>
      <t>i</t>
    </r>
  </si>
  <si>
    <r>
      <t>B</t>
    </r>
    <r>
      <rPr>
        <vertAlign val="subscript"/>
        <sz val="11"/>
        <color theme="1"/>
        <rFont val="Calibri"/>
        <family val="2"/>
        <scheme val="minor"/>
      </rPr>
      <t>i</t>
    </r>
  </si>
  <si>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</t>
    </r>
  </si>
  <si>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R</t>
    </r>
  </si>
  <si>
    <r>
      <t xml:space="preserve">TBP, 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F</t>
    </r>
  </si>
  <si>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API</t>
    </r>
  </si>
  <si>
    <t>This table is generated from polynomial fit of vol % .vs. TBP</t>
  </si>
  <si>
    <t>Cut distribution of Straight Run Products</t>
  </si>
  <si>
    <t xml:space="preserve">Cut, </t>
  </si>
  <si>
    <t>Off gas</t>
  </si>
  <si>
    <t>Lt St. Run</t>
  </si>
  <si>
    <t>Naphtha</t>
  </si>
  <si>
    <t>Kerosene</t>
  </si>
  <si>
    <t>Light Diesel</t>
  </si>
  <si>
    <t>Heavy Diesel</t>
  </si>
  <si>
    <t>Atmos Gas oil</t>
  </si>
  <si>
    <t>Residue</t>
  </si>
  <si>
    <t>End Point</t>
  </si>
  <si>
    <t>Cum.</t>
  </si>
  <si>
    <t xml:space="preserve">Vol %  </t>
  </si>
  <si>
    <t>of cut</t>
  </si>
  <si>
    <t>vol %.</t>
  </si>
  <si>
    <t>TBP.oC</t>
  </si>
  <si>
    <t>TBP,oF</t>
  </si>
  <si>
    <t>Example 3-2 Using method by Daubert by A.K. Coker</t>
  </si>
  <si>
    <t>Example 3-2 Using method by Riazi and Daubert  by A. K. Coker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</si>
</sst>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6.5"/>
      <color theme="1"/>
      <name val="Calibri"/>
      <family val="2"/>
    </font>
    <font>
      <sz val="12"/>
      <color theme="1"/>
      <name val="Times New Roman"/>
      <family val="1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4"/>
            <c:dispRSqr val="1"/>
            <c:dispEq val="1"/>
            <c:trendlineLbl>
              <c:layout>
                <c:manualLayout>
                  <c:x val="-0.10662079162893238"/>
                  <c:y val="-9.4509196200068701E-2"/>
                </c:manualLayout>
              </c:layout>
              <c:numFmt formatCode="General" sourceLinked="0"/>
            </c:trendlineLbl>
          </c:trendline>
          <c:xVal>
            <c:numRef>
              <c:f>'Riazi and Daubert method'!$B$5:$B$11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30</c:v>
                </c:pt>
                <c:pt idx="3">
                  <c:v>50</c:v>
                </c:pt>
                <c:pt idx="4">
                  <c:v>70</c:v>
                </c:pt>
                <c:pt idx="5">
                  <c:v>90</c:v>
                </c:pt>
                <c:pt idx="6">
                  <c:v>95</c:v>
                </c:pt>
              </c:numCache>
            </c:numRef>
          </c:xVal>
          <c:yVal>
            <c:numRef>
              <c:f>'Riazi and Daubert method'!$I$5:$I$11</c:f>
              <c:numCache>
                <c:formatCode>General</c:formatCode>
                <c:ptCount val="7"/>
                <c:pt idx="0">
                  <c:v>14.1</c:v>
                </c:pt>
                <c:pt idx="1">
                  <c:v>33.299999999999997</c:v>
                </c:pt>
                <c:pt idx="2">
                  <c:v>68.900000000000006</c:v>
                </c:pt>
                <c:pt idx="3">
                  <c:v>101.6</c:v>
                </c:pt>
                <c:pt idx="4">
                  <c:v>135.19999999999999</c:v>
                </c:pt>
                <c:pt idx="5">
                  <c:v>180.5</c:v>
                </c:pt>
                <c:pt idx="6">
                  <c:v>194.1</c:v>
                </c:pt>
              </c:numCache>
            </c:numRef>
          </c:yVal>
        </c:ser>
        <c:axId val="181192192"/>
        <c:axId val="181193728"/>
      </c:scatterChart>
      <c:valAx>
        <c:axId val="181192192"/>
        <c:scaling>
          <c:orientation val="minMax"/>
        </c:scaling>
        <c:axPos val="b"/>
        <c:numFmt formatCode="General" sourceLinked="1"/>
        <c:tickLblPos val="nextTo"/>
        <c:crossAx val="181193728"/>
        <c:crosses val="autoZero"/>
        <c:crossBetween val="midCat"/>
      </c:valAx>
      <c:valAx>
        <c:axId val="181193728"/>
        <c:scaling>
          <c:orientation val="minMax"/>
        </c:scaling>
        <c:axPos val="l"/>
        <c:majorGridlines/>
        <c:numFmt formatCode="General" sourceLinked="1"/>
        <c:tickLblPos val="nextTo"/>
        <c:crossAx val="18119219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sz="1200" b="0">
                <a:latin typeface="Times New Roman" pitchFamily="18" charset="0"/>
                <a:cs typeface="Times New Roman" pitchFamily="18" charset="0"/>
              </a:defRPr>
            </a:pPr>
            <a:r>
              <a:rPr lang="en-US" sz="1200" b="0">
                <a:latin typeface="Times New Roman" pitchFamily="18" charset="0"/>
                <a:cs typeface="Times New Roman" pitchFamily="18" charset="0"/>
              </a:rPr>
              <a:t>TBP vs. ASTM D86 Distiallation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2142619693846701"/>
          <c:y val="4.6030685623170614E-2"/>
          <c:w val="0.68355266429181916"/>
          <c:h val="0.85245275093122408"/>
        </c:manualLayout>
      </c:layout>
      <c:scatterChart>
        <c:scatterStyle val="lineMarker"/>
        <c:ser>
          <c:idx val="0"/>
          <c:order val="0"/>
          <c:tx>
            <c:v>ASTM D86</c:v>
          </c:tx>
          <c:spPr>
            <a:ln w="28575">
              <a:noFill/>
            </a:ln>
          </c:spPr>
          <c:trendline>
            <c:trendlineType val="poly"/>
            <c:order val="4"/>
          </c:trendline>
          <c:xVal>
            <c:numRef>
              <c:f>'Riazi and Daubert method'!$B$5:$B$11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30</c:v>
                </c:pt>
                <c:pt idx="3">
                  <c:v>50</c:v>
                </c:pt>
                <c:pt idx="4">
                  <c:v>70</c:v>
                </c:pt>
                <c:pt idx="5">
                  <c:v>90</c:v>
                </c:pt>
                <c:pt idx="6">
                  <c:v>95</c:v>
                </c:pt>
              </c:numCache>
            </c:numRef>
          </c:xVal>
          <c:yVal>
            <c:numRef>
              <c:f>'Riazi and Daubert method'!$E$5:$E$11</c:f>
              <c:numCache>
                <c:formatCode>General</c:formatCode>
                <c:ptCount val="7"/>
                <c:pt idx="0">
                  <c:v>36.5</c:v>
                </c:pt>
                <c:pt idx="1">
                  <c:v>54</c:v>
                </c:pt>
                <c:pt idx="2">
                  <c:v>77</c:v>
                </c:pt>
                <c:pt idx="3">
                  <c:v>101.5</c:v>
                </c:pt>
                <c:pt idx="4">
                  <c:v>131</c:v>
                </c:pt>
                <c:pt idx="5">
                  <c:v>171</c:v>
                </c:pt>
                <c:pt idx="6">
                  <c:v>186.5</c:v>
                </c:pt>
              </c:numCache>
            </c:numRef>
          </c:yVal>
        </c:ser>
        <c:ser>
          <c:idx val="1"/>
          <c:order val="1"/>
          <c:tx>
            <c:v>TBP(API method)</c:v>
          </c:tx>
          <c:spPr>
            <a:ln w="28575">
              <a:noFill/>
            </a:ln>
          </c:spPr>
          <c:trendline>
            <c:trendlineType val="poly"/>
            <c:order val="4"/>
            <c:dispRSqr val="1"/>
            <c:dispEq val="1"/>
            <c:trendlineLbl>
              <c:layout>
                <c:manualLayout>
                  <c:x val="-0.14511056300522973"/>
                  <c:y val="-0.11781354355833309"/>
                </c:manualLayout>
              </c:layout>
              <c:numFmt formatCode="General" sourceLinked="0"/>
            </c:trendlineLbl>
          </c:trendline>
          <c:xVal>
            <c:numRef>
              <c:f>'Riazi and Daubert method'!$B$5:$B$11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30</c:v>
                </c:pt>
                <c:pt idx="3">
                  <c:v>50</c:v>
                </c:pt>
                <c:pt idx="4">
                  <c:v>70</c:v>
                </c:pt>
                <c:pt idx="5">
                  <c:v>90</c:v>
                </c:pt>
                <c:pt idx="6">
                  <c:v>95</c:v>
                </c:pt>
              </c:numCache>
            </c:numRef>
          </c:xVal>
          <c:yVal>
            <c:numRef>
              <c:f>'Riazi and Daubert method'!$I$5:$I$11</c:f>
              <c:numCache>
                <c:formatCode>General</c:formatCode>
                <c:ptCount val="7"/>
                <c:pt idx="0">
                  <c:v>14.1</c:v>
                </c:pt>
                <c:pt idx="1">
                  <c:v>33.299999999999997</c:v>
                </c:pt>
                <c:pt idx="2">
                  <c:v>68.900000000000006</c:v>
                </c:pt>
                <c:pt idx="3">
                  <c:v>101.6</c:v>
                </c:pt>
                <c:pt idx="4">
                  <c:v>135.19999999999999</c:v>
                </c:pt>
                <c:pt idx="5">
                  <c:v>180.5</c:v>
                </c:pt>
                <c:pt idx="6">
                  <c:v>194.1</c:v>
                </c:pt>
              </c:numCache>
            </c:numRef>
          </c:yVal>
        </c:ser>
        <c:axId val="182099968"/>
        <c:axId val="182101888"/>
      </c:scatterChart>
      <c:valAx>
        <c:axId val="182099968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Volume % distilled</a:t>
                </a:r>
              </a:p>
            </c:rich>
          </c:tx>
          <c:layout>
            <c:manualLayout>
              <c:xMode val="edge"/>
              <c:yMode val="edge"/>
              <c:x val="0.34491736037294629"/>
              <c:y val="0.95802316453562553"/>
            </c:manualLayout>
          </c:layout>
        </c:title>
        <c:numFmt formatCode="General" sourceLinked="1"/>
        <c:tickLblPos val="nextTo"/>
        <c:crossAx val="182101888"/>
        <c:crosses val="autoZero"/>
        <c:crossBetween val="midCat"/>
      </c:valAx>
      <c:valAx>
        <c:axId val="182101888"/>
        <c:scaling>
          <c:orientation val="minMax"/>
        </c:scaling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Temperature, oC</a:t>
                </a:r>
              </a:p>
            </c:rich>
          </c:tx>
          <c:layout/>
        </c:title>
        <c:numFmt formatCode="General" sourceLinked="1"/>
        <c:tickLblPos val="nextTo"/>
        <c:crossAx val="18209996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power"/>
          </c:trendline>
          <c:trendline>
            <c:trendlineType val="poly"/>
            <c:order val="4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'Daubert method'!$B$5:$B$11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30</c:v>
                </c:pt>
                <c:pt idx="3">
                  <c:v>50</c:v>
                </c:pt>
                <c:pt idx="4">
                  <c:v>70</c:v>
                </c:pt>
                <c:pt idx="5">
                  <c:v>90</c:v>
                </c:pt>
                <c:pt idx="6">
                  <c:v>95</c:v>
                </c:pt>
              </c:numCache>
            </c:numRef>
          </c:xVal>
          <c:yVal>
            <c:numRef>
              <c:f>'Daubert method'!$I$5:$I$11</c:f>
              <c:numCache>
                <c:formatCode>General</c:formatCode>
                <c:ptCount val="7"/>
                <c:pt idx="0">
                  <c:v>22.42</c:v>
                </c:pt>
                <c:pt idx="1">
                  <c:v>81.56</c:v>
                </c:pt>
                <c:pt idx="2">
                  <c:v>152.13</c:v>
                </c:pt>
                <c:pt idx="3">
                  <c:v>214.99</c:v>
                </c:pt>
                <c:pt idx="4">
                  <c:v>280.66000000000003</c:v>
                </c:pt>
                <c:pt idx="5">
                  <c:v>364.33000000000004</c:v>
                </c:pt>
                <c:pt idx="6">
                  <c:v>394.01000000000005</c:v>
                </c:pt>
              </c:numCache>
            </c:numRef>
          </c:yVal>
        </c:ser>
        <c:axId val="182452224"/>
        <c:axId val="182453760"/>
      </c:scatterChart>
      <c:valAx>
        <c:axId val="182452224"/>
        <c:scaling>
          <c:orientation val="minMax"/>
        </c:scaling>
        <c:axPos val="b"/>
        <c:numFmt formatCode="General" sourceLinked="1"/>
        <c:tickLblPos val="nextTo"/>
        <c:crossAx val="182453760"/>
        <c:crosses val="autoZero"/>
        <c:crossBetween val="midCat"/>
      </c:valAx>
      <c:valAx>
        <c:axId val="182453760"/>
        <c:scaling>
          <c:orientation val="minMax"/>
        </c:scaling>
        <c:axPos val="l"/>
        <c:majorGridlines/>
        <c:numFmt formatCode="General" sourceLinked="1"/>
        <c:tickLblPos val="nextTo"/>
        <c:crossAx val="18245222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5.4473628752610428E-2"/>
          <c:y val="1.8106687456501267E-2"/>
          <c:w val="0.71426603061478733"/>
          <c:h val="0.89272753736481492"/>
        </c:manualLayout>
      </c:layout>
      <c:scatterChart>
        <c:scatterStyle val="smoothMarker"/>
        <c:ser>
          <c:idx val="0"/>
          <c:order val="0"/>
          <c:trendline>
            <c:trendlineType val="poly"/>
            <c:order val="4"/>
            <c:dispRSqr val="1"/>
            <c:dispEq val="1"/>
            <c:trendlineLbl>
              <c:layout>
                <c:manualLayout>
                  <c:x val="-0.19212230587964818"/>
                  <c:y val="1.4531234631615521E-2"/>
                </c:manualLayout>
              </c:layout>
              <c:numFmt formatCode="General" sourceLinked="0"/>
            </c:trendlineLbl>
          </c:trendline>
          <c:xVal>
            <c:strRef>
              <c:f>'Daubert method'!$V$60:$V$110</c:f>
              <c:strCache>
                <c:ptCount val="9"/>
                <c:pt idx="0">
                  <c:v>Cut,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</c:strCache>
            </c:strRef>
          </c:xVal>
          <c:yVal>
            <c:numRef>
              <c:f>'Daubert method'!$W$60:$W$110</c:f>
              <c:numCache>
                <c:formatCode>General</c:formatCode>
                <c:ptCount val="51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1"/>
        </c:ser>
        <c:axId val="182478336"/>
        <c:axId val="182479872"/>
      </c:scatterChart>
      <c:valAx>
        <c:axId val="182478336"/>
        <c:scaling>
          <c:orientation val="minMax"/>
          <c:max val="423.5"/>
          <c:min val="23.5"/>
        </c:scaling>
        <c:axPos val="b"/>
        <c:majorGridlines/>
        <c:numFmt formatCode="General" sourceLinked="1"/>
        <c:tickLblPos val="nextTo"/>
        <c:crossAx val="182479872"/>
        <c:crosses val="autoZero"/>
        <c:crossBetween val="midCat"/>
      </c:valAx>
      <c:valAx>
        <c:axId val="182479872"/>
        <c:scaling>
          <c:orientation val="minMax"/>
          <c:max val="100"/>
          <c:min val="0"/>
        </c:scaling>
        <c:axPos val="l"/>
        <c:majorGridlines/>
        <c:numFmt formatCode="General" sourceLinked="1"/>
        <c:tickLblPos val="nextTo"/>
        <c:crossAx val="182478336"/>
        <c:crosses val="autoZero"/>
        <c:crossBetween val="midCat"/>
        <c:majorUnit val="20"/>
        <c:minorUnit val="4"/>
      </c:valAx>
    </c:plotArea>
    <c:legend>
      <c:legendPos val="r"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4"/>
            <c:dispRSqr val="1"/>
            <c:dispEq val="1"/>
            <c:trendlineLbl>
              <c:layout>
                <c:manualLayout>
                  <c:x val="0.13390305640149602"/>
                  <c:y val="0.59940720957808169"/>
                </c:manualLayout>
              </c:layout>
              <c:numFmt formatCode="General" sourceLinked="0"/>
            </c:trendlineLbl>
          </c:trendline>
          <c:xVal>
            <c:numRef>
              <c:f>'Daubert method'!$W$5:$W$55</c:f>
              <c:numCache>
                <c:formatCode>General</c:formatCode>
                <c:ptCount val="51"/>
                <c:pt idx="0">
                  <c:v>23.536000000000001</c:v>
                </c:pt>
                <c:pt idx="1">
                  <c:v>35.953352000000002</c:v>
                </c:pt>
                <c:pt idx="2">
                  <c:v>47.659632000000002</c:v>
                </c:pt>
                <c:pt idx="3">
                  <c:v>58.701112000000002</c:v>
                </c:pt>
                <c:pt idx="4">
                  <c:v>69.122912000000014</c:v>
                </c:pt>
                <c:pt idx="5">
                  <c:v>78.969000000000008</c:v>
                </c:pt>
                <c:pt idx="6">
                  <c:v>88.282192000000009</c:v>
                </c:pt>
                <c:pt idx="7">
                  <c:v>97.104151999999999</c:v>
                </c:pt>
                <c:pt idx="8">
                  <c:v>105.475392</c:v>
                </c:pt>
                <c:pt idx="9">
                  <c:v>113.43527200000001</c:v>
                </c:pt>
                <c:pt idx="10">
                  <c:v>121.02200000000001</c:v>
                </c:pt>
                <c:pt idx="11">
                  <c:v>128.27263199999999</c:v>
                </c:pt>
                <c:pt idx="12">
                  <c:v>135.223072</c:v>
                </c:pt>
                <c:pt idx="13">
                  <c:v>141.908072</c:v>
                </c:pt>
                <c:pt idx="14">
                  <c:v>148.361232</c:v>
                </c:pt>
                <c:pt idx="15">
                  <c:v>154.61500000000001</c:v>
                </c:pt>
                <c:pt idx="16">
                  <c:v>160.70067200000003</c:v>
                </c:pt>
                <c:pt idx="17">
                  <c:v>166.64839200000003</c:v>
                </c:pt>
                <c:pt idx="18">
                  <c:v>172.48715200000001</c:v>
                </c:pt>
                <c:pt idx="19">
                  <c:v>178.24479200000002</c:v>
                </c:pt>
                <c:pt idx="20">
                  <c:v>183.94800000000001</c:v>
                </c:pt>
                <c:pt idx="21">
                  <c:v>189.62231200000005</c:v>
                </c:pt>
                <c:pt idx="22">
                  <c:v>195.29211200000003</c:v>
                </c:pt>
                <c:pt idx="23">
                  <c:v>200.98063200000001</c:v>
                </c:pt>
                <c:pt idx="24">
                  <c:v>206.70995200000002</c:v>
                </c:pt>
                <c:pt idx="25">
                  <c:v>212.50100000000003</c:v>
                </c:pt>
                <c:pt idx="26">
                  <c:v>218.37355200000002</c:v>
                </c:pt>
                <c:pt idx="27">
                  <c:v>224.34623200000004</c:v>
                </c:pt>
                <c:pt idx="28">
                  <c:v>230.43651200000002</c:v>
                </c:pt>
                <c:pt idx="29">
                  <c:v>236.66071200000005</c:v>
                </c:pt>
                <c:pt idx="30">
                  <c:v>243.03400000000005</c:v>
                </c:pt>
                <c:pt idx="31">
                  <c:v>249.57039200000003</c:v>
                </c:pt>
                <c:pt idx="32">
                  <c:v>256.28275200000007</c:v>
                </c:pt>
                <c:pt idx="33">
                  <c:v>263.18279199999995</c:v>
                </c:pt>
                <c:pt idx="34">
                  <c:v>270.28107200000011</c:v>
                </c:pt>
                <c:pt idx="35">
                  <c:v>277.58700000000005</c:v>
                </c:pt>
                <c:pt idx="36">
                  <c:v>285.10883200000006</c:v>
                </c:pt>
                <c:pt idx="37">
                  <c:v>292.85367200000007</c:v>
                </c:pt>
                <c:pt idx="38">
                  <c:v>300.82747200000006</c:v>
                </c:pt>
                <c:pt idx="39">
                  <c:v>309.03503200000006</c:v>
                </c:pt>
                <c:pt idx="40">
                  <c:v>317.48</c:v>
                </c:pt>
                <c:pt idx="41">
                  <c:v>326.16487200000012</c:v>
                </c:pt>
                <c:pt idx="42">
                  <c:v>335.0909920000002</c:v>
                </c:pt>
                <c:pt idx="43">
                  <c:v>344.25855200000007</c:v>
                </c:pt>
                <c:pt idx="44">
                  <c:v>353.66659200000004</c:v>
                </c:pt>
                <c:pt idx="45">
                  <c:v>363.31300000000005</c:v>
                </c:pt>
                <c:pt idx="46">
                  <c:v>373.19451199999997</c:v>
                </c:pt>
                <c:pt idx="47">
                  <c:v>383.30671200000012</c:v>
                </c:pt>
                <c:pt idx="48">
                  <c:v>393.64403199999998</c:v>
                </c:pt>
                <c:pt idx="49">
                  <c:v>404.19975199999993</c:v>
                </c:pt>
                <c:pt idx="50">
                  <c:v>414.96600000000007</c:v>
                </c:pt>
              </c:numCache>
            </c:numRef>
          </c:xVal>
          <c:yVal>
            <c:numRef>
              <c:f>'Daubert method'!$V$5:$V$56</c:f>
              <c:numCache>
                <c:formatCode>General</c:formatCode>
                <c:ptCount val="52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  <c:pt idx="46">
                  <c:v>92</c:v>
                </c:pt>
                <c:pt idx="47">
                  <c:v>94</c:v>
                </c:pt>
                <c:pt idx="48">
                  <c:v>96</c:v>
                </c:pt>
                <c:pt idx="49">
                  <c:v>98</c:v>
                </c:pt>
                <c:pt idx="50">
                  <c:v>100</c:v>
                </c:pt>
              </c:numCache>
            </c:numRef>
          </c:yVal>
        </c:ser>
        <c:axId val="182492160"/>
        <c:axId val="182514432"/>
      </c:scatterChart>
      <c:valAx>
        <c:axId val="182492160"/>
        <c:scaling>
          <c:orientation val="minMax"/>
          <c:max val="423.5"/>
          <c:min val="23.5"/>
        </c:scaling>
        <c:axPos val="b"/>
        <c:minorGridlines/>
        <c:numFmt formatCode="General" sourceLinked="1"/>
        <c:tickLblPos val="nextTo"/>
        <c:crossAx val="182514432"/>
        <c:crosses val="autoZero"/>
        <c:crossBetween val="midCat"/>
      </c:valAx>
      <c:valAx>
        <c:axId val="182514432"/>
        <c:scaling>
          <c:orientation val="minMax"/>
          <c:max val="100"/>
        </c:scaling>
        <c:axPos val="l"/>
        <c:majorGridlines/>
        <c:numFmt formatCode="General" sourceLinked="1"/>
        <c:tickLblPos val="nextTo"/>
        <c:crossAx val="18249216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sz="1200" b="0" i="0" baseline="0"/>
            </a:pPr>
            <a:r>
              <a:rPr lang="en-US" sz="1200" b="0" i="0" baseline="0"/>
              <a:t>TBP Curve</a:t>
            </a:r>
          </a:p>
        </c:rich>
      </c:tx>
      <c:layout>
        <c:manualLayout>
          <c:xMode val="edge"/>
          <c:yMode val="edge"/>
          <c:x val="0.4152827967626691"/>
          <c:y val="4.9684629746813778E-2"/>
        </c:manualLayout>
      </c:layout>
    </c:title>
    <c:plotArea>
      <c:layout>
        <c:manualLayout>
          <c:layoutTarget val="inner"/>
          <c:xMode val="edge"/>
          <c:yMode val="edge"/>
          <c:x val="0.10809760005270953"/>
          <c:y val="0.13066299639395218"/>
          <c:w val="0.75938195461696056"/>
          <c:h val="0.78796277369335777"/>
        </c:manualLayout>
      </c:layout>
      <c:scatterChart>
        <c:scatterStyle val="lineMarker"/>
        <c:ser>
          <c:idx val="0"/>
          <c:order val="0"/>
          <c:tx>
            <c:v>ASTM D86</c:v>
          </c:tx>
          <c:spPr>
            <a:ln w="28575">
              <a:noFill/>
            </a:ln>
          </c:spPr>
          <c:trendline>
            <c:trendlineType val="poly"/>
            <c:order val="4"/>
          </c:trendline>
          <c:xVal>
            <c:numRef>
              <c:f>'Daubert method'!$B$5:$B$11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30</c:v>
                </c:pt>
                <c:pt idx="3">
                  <c:v>50</c:v>
                </c:pt>
                <c:pt idx="4">
                  <c:v>70</c:v>
                </c:pt>
                <c:pt idx="5">
                  <c:v>90</c:v>
                </c:pt>
                <c:pt idx="6">
                  <c:v>95</c:v>
                </c:pt>
              </c:numCache>
            </c:numRef>
          </c:xVal>
          <c:yVal>
            <c:numRef>
              <c:f>'Daubert method'!$E$5:$E$11</c:f>
              <c:numCache>
                <c:formatCode>General</c:formatCode>
                <c:ptCount val="7"/>
                <c:pt idx="0">
                  <c:v>36.5</c:v>
                </c:pt>
                <c:pt idx="1">
                  <c:v>54</c:v>
                </c:pt>
                <c:pt idx="2">
                  <c:v>77</c:v>
                </c:pt>
                <c:pt idx="3">
                  <c:v>101.5</c:v>
                </c:pt>
                <c:pt idx="4">
                  <c:v>131</c:v>
                </c:pt>
                <c:pt idx="5">
                  <c:v>171</c:v>
                </c:pt>
                <c:pt idx="6">
                  <c:v>186.5</c:v>
                </c:pt>
              </c:numCache>
            </c:numRef>
          </c:yVal>
        </c:ser>
        <c:ser>
          <c:idx val="1"/>
          <c:order val="1"/>
          <c:tx>
            <c:v>TBP(Daubert's method)</c:v>
          </c:tx>
          <c:spPr>
            <a:ln w="28575">
              <a:noFill/>
            </a:ln>
          </c:spPr>
          <c:trendline>
            <c:trendlineType val="poly"/>
            <c:order val="4"/>
            <c:dispRSqr val="1"/>
            <c:dispEq val="1"/>
            <c:trendlineLbl>
              <c:layout>
                <c:manualLayout>
                  <c:x val="-0.12662878495064514"/>
                  <c:y val="-7.312100652453081E-2"/>
                </c:manualLayout>
              </c:layout>
              <c:numFmt formatCode="General" sourceLinked="0"/>
            </c:trendlineLbl>
          </c:trendline>
          <c:xVal>
            <c:numRef>
              <c:f>'Daubert method'!$B$5:$B$11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30</c:v>
                </c:pt>
                <c:pt idx="3">
                  <c:v>50</c:v>
                </c:pt>
                <c:pt idx="4">
                  <c:v>70</c:v>
                </c:pt>
                <c:pt idx="5">
                  <c:v>90</c:v>
                </c:pt>
                <c:pt idx="6">
                  <c:v>95</c:v>
                </c:pt>
              </c:numCache>
            </c:numRef>
          </c:xVal>
          <c:yVal>
            <c:numRef>
              <c:f>'Daubert method'!$J$5:$J$11</c:f>
              <c:numCache>
                <c:formatCode>General</c:formatCode>
                <c:ptCount val="7"/>
                <c:pt idx="0">
                  <c:v>-5.32</c:v>
                </c:pt>
                <c:pt idx="1">
                  <c:v>27.53</c:v>
                </c:pt>
                <c:pt idx="2">
                  <c:v>66.739999999999995</c:v>
                </c:pt>
                <c:pt idx="3">
                  <c:v>101.66</c:v>
                </c:pt>
                <c:pt idx="4">
                  <c:v>138.13999999999999</c:v>
                </c:pt>
                <c:pt idx="5">
                  <c:v>184.63</c:v>
                </c:pt>
                <c:pt idx="6">
                  <c:v>201.12</c:v>
                </c:pt>
              </c:numCache>
            </c:numRef>
          </c:yVal>
        </c:ser>
        <c:dLbls/>
        <c:axId val="182547968"/>
        <c:axId val="182549888"/>
      </c:scatterChart>
      <c:valAx>
        <c:axId val="1825479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Volume %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182549888"/>
        <c:crosses val="autoZero"/>
        <c:crossBetween val="midCat"/>
      </c:valAx>
      <c:valAx>
        <c:axId val="1825498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TBP, oC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182547968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61604137698439487"/>
          <c:y val="0.54136758899465887"/>
          <c:w val="0.2451883795047326"/>
          <c:h val="0.22461071407962646"/>
        </c:manualLayout>
      </c:layout>
    </c:legend>
    <c:plotVisOnly val="1"/>
  </c:chart>
  <c:spPr>
    <a:noFill/>
    <a:ln>
      <a:solidFill>
        <a:schemeClr val="accent1"/>
      </a:solidFill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6.1171964847958504E-2"/>
          <c:y val="6.5074810191755109E-2"/>
          <c:w val="0.74301082658476036"/>
          <c:h val="0.87840037373059565"/>
        </c:manualLayout>
      </c:layout>
      <c:scatterChart>
        <c:scatterStyle val="lineMarker"/>
        <c:ser>
          <c:idx val="0"/>
          <c:order val="0"/>
          <c:spPr>
            <a:ln w="12700">
              <a:solidFill>
                <a:schemeClr val="tx1"/>
              </a:solidFill>
            </a:ln>
          </c:spPr>
          <c:marker>
            <c:symbol val="triangle"/>
            <c:size val="5"/>
          </c:marker>
          <c:xVal>
            <c:numRef>
              <c:f>Sheet3!$B$5:$B$12</c:f>
              <c:numCache>
                <c:formatCode>General</c:formatCode>
                <c:ptCount val="8"/>
                <c:pt idx="0">
                  <c:v>0</c:v>
                </c:pt>
                <c:pt idx="1">
                  <c:v>10</c:v>
                </c:pt>
                <c:pt idx="2">
                  <c:v>30</c:v>
                </c:pt>
                <c:pt idx="3">
                  <c:v>50</c:v>
                </c:pt>
                <c:pt idx="4">
                  <c:v>70</c:v>
                </c:pt>
                <c:pt idx="5">
                  <c:v>90</c:v>
                </c:pt>
                <c:pt idx="6">
                  <c:v>95</c:v>
                </c:pt>
                <c:pt idx="7">
                  <c:v>100</c:v>
                </c:pt>
              </c:numCache>
            </c:numRef>
          </c:xVal>
          <c:yVal>
            <c:numRef>
              <c:f>Sheet3!$E$5:$E$14</c:f>
              <c:numCache>
                <c:formatCode>General</c:formatCode>
                <c:ptCount val="10"/>
                <c:pt idx="0">
                  <c:v>138</c:v>
                </c:pt>
                <c:pt idx="1">
                  <c:v>149.6</c:v>
                </c:pt>
                <c:pt idx="2">
                  <c:v>158.80000000000001</c:v>
                </c:pt>
                <c:pt idx="3">
                  <c:v>165.8</c:v>
                </c:pt>
                <c:pt idx="4">
                  <c:v>169.9</c:v>
                </c:pt>
                <c:pt idx="5">
                  <c:v>178.1</c:v>
                </c:pt>
                <c:pt idx="6">
                  <c:v>180.4</c:v>
                </c:pt>
                <c:pt idx="7">
                  <c:v>199.72</c:v>
                </c:pt>
              </c:numCache>
            </c:numRef>
          </c:yVal>
          <c:smooth val="1"/>
        </c:ser>
        <c:ser>
          <c:idx val="1"/>
          <c:order val="1"/>
          <c:spPr>
            <a:ln w="28575">
              <a:noFill/>
            </a:ln>
          </c:spPr>
          <c:marker>
            <c:symbol val="x"/>
            <c:size val="7"/>
          </c:marker>
          <c:trendline>
            <c:trendlineType val="poly"/>
            <c:order val="4"/>
            <c:dispRSqr val="1"/>
            <c:dispEq val="1"/>
            <c:trendlineLbl>
              <c:layout>
                <c:manualLayout>
                  <c:x val="-0.18992556844457001"/>
                  <c:y val="3.1512939107503721E-3"/>
                </c:manualLayout>
              </c:layout>
              <c:numFmt formatCode="General" sourceLinked="0"/>
            </c:trendlineLbl>
          </c:trendline>
          <c:xVal>
            <c:numRef>
              <c:f>Sheet3!$B$5:$B$12</c:f>
              <c:numCache>
                <c:formatCode>General</c:formatCode>
                <c:ptCount val="8"/>
                <c:pt idx="0">
                  <c:v>0</c:v>
                </c:pt>
                <c:pt idx="1">
                  <c:v>10</c:v>
                </c:pt>
                <c:pt idx="2">
                  <c:v>30</c:v>
                </c:pt>
                <c:pt idx="3">
                  <c:v>50</c:v>
                </c:pt>
                <c:pt idx="4">
                  <c:v>70</c:v>
                </c:pt>
                <c:pt idx="5">
                  <c:v>90</c:v>
                </c:pt>
                <c:pt idx="6">
                  <c:v>95</c:v>
                </c:pt>
                <c:pt idx="7">
                  <c:v>100</c:v>
                </c:pt>
              </c:numCache>
            </c:numRef>
          </c:xVal>
          <c:yVal>
            <c:numRef>
              <c:f>Sheet3!$J$5:$J$12</c:f>
              <c:numCache>
                <c:formatCode>General</c:formatCode>
                <c:ptCount val="8"/>
                <c:pt idx="0">
                  <c:v>109.31</c:v>
                </c:pt>
                <c:pt idx="1">
                  <c:v>134.96</c:v>
                </c:pt>
                <c:pt idx="2">
                  <c:v>155.29</c:v>
                </c:pt>
                <c:pt idx="3">
                  <c:v>168.1</c:v>
                </c:pt>
                <c:pt idx="4">
                  <c:v>175.33</c:v>
                </c:pt>
                <c:pt idx="5">
                  <c:v>188.94</c:v>
                </c:pt>
                <c:pt idx="6">
                  <c:v>189.64</c:v>
                </c:pt>
                <c:pt idx="7">
                  <c:v>205.19000000000011</c:v>
                </c:pt>
              </c:numCache>
            </c:numRef>
          </c:yVal>
        </c:ser>
        <c:axId val="182645504"/>
        <c:axId val="182647040"/>
      </c:scatterChart>
      <c:valAx>
        <c:axId val="182645504"/>
        <c:scaling>
          <c:orientation val="minMax"/>
          <c:max val="100"/>
        </c:scaling>
        <c:axPos val="b"/>
        <c:minorGridlines/>
        <c:numFmt formatCode="General" sourceLinked="1"/>
        <c:tickLblPos val="nextTo"/>
        <c:crossAx val="182647040"/>
        <c:crosses val="autoZero"/>
        <c:crossBetween val="midCat"/>
      </c:valAx>
      <c:valAx>
        <c:axId val="182647040"/>
        <c:scaling>
          <c:orientation val="minMax"/>
          <c:max val="190"/>
          <c:min val="100"/>
        </c:scaling>
        <c:axPos val="l"/>
        <c:majorGridlines/>
        <c:numFmt formatCode="General" sourceLinked="1"/>
        <c:tickLblPos val="nextTo"/>
        <c:crossAx val="182645504"/>
        <c:crosses val="autoZero"/>
        <c:crossBetween val="midCat"/>
      </c:valAx>
      <c:spPr>
        <a:noFill/>
      </c:spPr>
    </c:plotArea>
    <c:legend>
      <c:legendPos val="r"/>
      <c:layout>
        <c:manualLayout>
          <c:xMode val="edge"/>
          <c:yMode val="edge"/>
          <c:x val="0.78446809554349584"/>
          <c:y val="0.33905046768089259"/>
          <c:w val="0.20168765408995837"/>
          <c:h val="0.14804720773656119"/>
        </c:manualLayout>
      </c:layout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394606</xdr:colOff>
      <xdr:row>13</xdr:row>
      <xdr:rowOff>163286</xdr:rowOff>
    </xdr:from>
    <xdr:to>
      <xdr:col>11</xdr:col>
      <xdr:colOff>20409</xdr:colOff>
      <xdr:row>33</xdr:row>
      <xdr:rowOff>170089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353785</xdr:colOff>
      <xdr:row>9</xdr:row>
      <xdr:rowOff>176892</xdr:rowOff>
    </xdr:from>
    <xdr:to>
      <xdr:col>22</xdr:col>
      <xdr:colOff>13607</xdr:colOff>
      <xdr:row>34</xdr:row>
      <xdr:rowOff>149679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54372</xdr:colOff>
      <xdr:row>21</xdr:row>
      <xdr:rowOff>142875</xdr:rowOff>
    </xdr:from>
    <xdr:to>
      <xdr:col>21</xdr:col>
      <xdr:colOff>190500</xdr:colOff>
      <xdr:row>41</xdr:row>
      <xdr:rowOff>92869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148828</xdr:colOff>
      <xdr:row>85</xdr:row>
      <xdr:rowOff>89296</xdr:rowOff>
    </xdr:from>
    <xdr:to>
      <xdr:col>19</xdr:col>
      <xdr:colOff>601266</xdr:colOff>
      <xdr:row>106</xdr:row>
      <xdr:rowOff>119062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404813</xdr:colOff>
      <xdr:row>47</xdr:row>
      <xdr:rowOff>95248</xdr:rowOff>
    </xdr:from>
    <xdr:to>
      <xdr:col>17</xdr:col>
      <xdr:colOff>214313</xdr:colOff>
      <xdr:row>65</xdr:row>
      <xdr:rowOff>107155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339328</xdr:colOff>
      <xdr:row>1</xdr:row>
      <xdr:rowOff>160735</xdr:rowOff>
    </xdr:from>
    <xdr:to>
      <xdr:col>20</xdr:col>
      <xdr:colOff>398859</xdr:colOff>
      <xdr:row>21</xdr:row>
      <xdr:rowOff>89297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231321</xdr:colOff>
      <xdr:row>41</xdr:row>
      <xdr:rowOff>40821</xdr:rowOff>
    </xdr:from>
    <xdr:to>
      <xdr:col>13</xdr:col>
      <xdr:colOff>54428</xdr:colOff>
      <xdr:row>65</xdr:row>
      <xdr:rowOff>20411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"/>
  <sheetViews>
    <sheetView topLeftCell="E13" zoomScale="140" zoomScaleNormal="140" workbookViewId="0">
      <selection activeCell="K10" sqref="K10"/>
    </sheetView>
  </sheetViews>
  <sheetFormatPr defaultRowHeight="15"/>
  <cols>
    <col min="5" max="6" width="10" bestFit="1" customWidth="1"/>
  </cols>
  <sheetData>
    <row r="1" spans="1:9">
      <c r="A1" t="s">
        <v>50</v>
      </c>
    </row>
    <row r="3" spans="1:9">
      <c r="A3" s="3" t="s">
        <v>8</v>
      </c>
      <c r="B3" s="3" t="s">
        <v>0</v>
      </c>
      <c r="C3" s="3"/>
      <c r="D3" s="3"/>
      <c r="E3" s="3" t="s">
        <v>6</v>
      </c>
      <c r="F3" s="3" t="s">
        <v>6</v>
      </c>
      <c r="G3" s="3" t="s">
        <v>2</v>
      </c>
      <c r="H3" s="3" t="s">
        <v>2</v>
      </c>
      <c r="I3" s="3" t="s">
        <v>2</v>
      </c>
    </row>
    <row r="4" spans="1:9" ht="17.25">
      <c r="A4" s="3" t="s">
        <v>9</v>
      </c>
      <c r="B4" s="3" t="s">
        <v>1</v>
      </c>
      <c r="C4" s="3" t="s">
        <v>4</v>
      </c>
      <c r="D4" s="3" t="s">
        <v>5</v>
      </c>
      <c r="E4" s="3" t="s">
        <v>27</v>
      </c>
      <c r="F4" s="3" t="s">
        <v>24</v>
      </c>
      <c r="G4" s="3" t="s">
        <v>28</v>
      </c>
      <c r="H4" s="3" t="s">
        <v>24</v>
      </c>
      <c r="I4" s="3" t="s">
        <v>27</v>
      </c>
    </row>
    <row r="5" spans="1:9">
      <c r="A5" s="3">
        <v>1</v>
      </c>
      <c r="B5">
        <v>0</v>
      </c>
      <c r="C5">
        <v>0.91669999999999996</v>
      </c>
      <c r="D5">
        <v>1.0019</v>
      </c>
      <c r="E5">
        <v>36.5</v>
      </c>
      <c r="F5">
        <f>(9/5*E5)+32</f>
        <v>97.7</v>
      </c>
      <c r="G5">
        <f>ROUND(C5*(F5+460)^D5,1)</f>
        <v>517.4</v>
      </c>
      <c r="H5">
        <f>G5-460</f>
        <v>57.399999999999977</v>
      </c>
      <c r="I5">
        <f>ROUND(5/9*(H5-32),1)</f>
        <v>14.1</v>
      </c>
    </row>
    <row r="6" spans="1:9">
      <c r="A6" s="3">
        <v>2</v>
      </c>
      <c r="B6">
        <v>10</v>
      </c>
      <c r="C6">
        <v>0.52769999999999995</v>
      </c>
      <c r="D6">
        <v>1.0900000000000001</v>
      </c>
      <c r="E6">
        <v>54</v>
      </c>
      <c r="F6">
        <f t="shared" ref="F6:F11" si="0">(9/5*E6)+32</f>
        <v>129.19999999999999</v>
      </c>
      <c r="G6">
        <f t="shared" ref="G6:G11" si="1">ROUND(C6*(F6+460)^D6,1)</f>
        <v>552</v>
      </c>
      <c r="H6">
        <f t="shared" ref="H6:H11" si="2">G6-460</f>
        <v>92</v>
      </c>
      <c r="I6">
        <f t="shared" ref="I6:I11" si="3">ROUND(5/9*(H6-32),1)</f>
        <v>33.299999999999997</v>
      </c>
    </row>
    <row r="7" spans="1:9">
      <c r="A7" s="3">
        <v>3</v>
      </c>
      <c r="B7">
        <v>30</v>
      </c>
      <c r="C7">
        <v>0.7429</v>
      </c>
      <c r="D7">
        <v>1.0425</v>
      </c>
      <c r="E7">
        <v>77</v>
      </c>
      <c r="F7">
        <f t="shared" si="0"/>
        <v>170.6</v>
      </c>
      <c r="G7">
        <f t="shared" si="1"/>
        <v>616.1</v>
      </c>
      <c r="H7">
        <f t="shared" si="2"/>
        <v>156.10000000000002</v>
      </c>
      <c r="I7">
        <f t="shared" si="3"/>
        <v>68.900000000000006</v>
      </c>
    </row>
    <row r="8" spans="1:9">
      <c r="A8" s="3">
        <v>4</v>
      </c>
      <c r="B8">
        <v>50</v>
      </c>
      <c r="C8">
        <v>0.89200000000000002</v>
      </c>
      <c r="D8">
        <v>1.0176000000000001</v>
      </c>
      <c r="E8">
        <v>101.5</v>
      </c>
      <c r="F8">
        <f t="shared" si="0"/>
        <v>214.70000000000002</v>
      </c>
      <c r="G8">
        <f t="shared" si="1"/>
        <v>674.9</v>
      </c>
      <c r="H8">
        <f t="shared" si="2"/>
        <v>214.89999999999998</v>
      </c>
      <c r="I8">
        <f t="shared" si="3"/>
        <v>101.6</v>
      </c>
    </row>
    <row r="9" spans="1:9">
      <c r="A9" s="3">
        <v>5</v>
      </c>
      <c r="B9">
        <v>70</v>
      </c>
      <c r="C9">
        <v>0.87050000000000005</v>
      </c>
      <c r="D9">
        <v>1.0226</v>
      </c>
      <c r="E9">
        <v>131</v>
      </c>
      <c r="F9">
        <f t="shared" si="0"/>
        <v>267.8</v>
      </c>
      <c r="G9">
        <f t="shared" si="1"/>
        <v>735.3</v>
      </c>
      <c r="H9">
        <f t="shared" si="2"/>
        <v>275.29999999999995</v>
      </c>
      <c r="I9">
        <f t="shared" si="3"/>
        <v>135.19999999999999</v>
      </c>
    </row>
    <row r="10" spans="1:9">
      <c r="A10" s="3">
        <v>6</v>
      </c>
      <c r="B10">
        <v>90</v>
      </c>
      <c r="C10">
        <v>0.94899999999999995</v>
      </c>
      <c r="D10">
        <v>1.0109999999999999</v>
      </c>
      <c r="E10">
        <v>171</v>
      </c>
      <c r="F10">
        <f t="shared" si="0"/>
        <v>339.8</v>
      </c>
      <c r="G10">
        <f t="shared" si="1"/>
        <v>816.9</v>
      </c>
      <c r="H10">
        <f t="shared" si="2"/>
        <v>356.9</v>
      </c>
      <c r="I10">
        <f t="shared" si="3"/>
        <v>180.5</v>
      </c>
    </row>
    <row r="11" spans="1:9">
      <c r="A11" s="3">
        <v>7</v>
      </c>
      <c r="B11">
        <v>95</v>
      </c>
      <c r="C11">
        <v>0.80079999999999996</v>
      </c>
      <c r="D11">
        <v>1.0355000000000001</v>
      </c>
      <c r="E11">
        <v>186.5</v>
      </c>
      <c r="F11">
        <f t="shared" si="0"/>
        <v>367.7</v>
      </c>
      <c r="G11">
        <f t="shared" si="1"/>
        <v>841.4</v>
      </c>
      <c r="H11">
        <f t="shared" si="2"/>
        <v>381.4</v>
      </c>
      <c r="I11">
        <f t="shared" si="3"/>
        <v>194.1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110"/>
  <sheetViews>
    <sheetView tabSelected="1" zoomScale="160" zoomScaleNormal="160" workbookViewId="0"/>
  </sheetViews>
  <sheetFormatPr defaultRowHeight="15"/>
  <sheetData>
    <row r="1" spans="1:28">
      <c r="A1" t="s">
        <v>49</v>
      </c>
    </row>
    <row r="2" spans="1:28">
      <c r="V2" t="s">
        <v>31</v>
      </c>
    </row>
    <row r="3" spans="1:28" ht="21.75">
      <c r="A3" s="3" t="s">
        <v>8</v>
      </c>
      <c r="B3" s="3" t="s">
        <v>0</v>
      </c>
      <c r="C3" s="3"/>
      <c r="D3" s="3"/>
      <c r="E3" s="3" t="s">
        <v>6</v>
      </c>
      <c r="F3" s="3" t="s">
        <v>6</v>
      </c>
      <c r="G3" s="4" t="s">
        <v>7</v>
      </c>
      <c r="H3" s="4" t="s">
        <v>10</v>
      </c>
      <c r="I3" s="3" t="s">
        <v>2</v>
      </c>
      <c r="J3" s="3" t="s">
        <v>2</v>
      </c>
    </row>
    <row r="4" spans="1:28" ht="18.75">
      <c r="A4" s="3" t="s">
        <v>9</v>
      </c>
      <c r="B4" s="3" t="s">
        <v>1</v>
      </c>
      <c r="C4" s="3" t="s">
        <v>25</v>
      </c>
      <c r="D4" s="3" t="s">
        <v>26</v>
      </c>
      <c r="E4" s="3" t="s">
        <v>27</v>
      </c>
      <c r="F4" s="3" t="s">
        <v>24</v>
      </c>
      <c r="G4" s="3"/>
      <c r="H4" s="3" t="s">
        <v>24</v>
      </c>
      <c r="I4" s="3" t="s">
        <v>24</v>
      </c>
      <c r="J4" s="3" t="s">
        <v>27</v>
      </c>
      <c r="V4" s="3" t="s">
        <v>21</v>
      </c>
      <c r="W4" s="3" t="s">
        <v>29</v>
      </c>
      <c r="X4" s="3" t="s">
        <v>22</v>
      </c>
      <c r="Y4" s="3" t="s">
        <v>30</v>
      </c>
      <c r="Z4" s="3"/>
      <c r="AA4" s="3" t="s">
        <v>29</v>
      </c>
      <c r="AB4" s="3" t="s">
        <v>21</v>
      </c>
    </row>
    <row r="5" spans="1:28" ht="15.75">
      <c r="A5" s="3">
        <v>1</v>
      </c>
      <c r="B5" s="3">
        <v>0</v>
      </c>
      <c r="C5" s="3">
        <v>7.4012000000000002</v>
      </c>
      <c r="D5" s="3">
        <v>0.60240000000000005</v>
      </c>
      <c r="E5" s="3">
        <v>36.5</v>
      </c>
      <c r="F5" s="3">
        <f>(9/5*E5)+32</f>
        <v>97.7</v>
      </c>
      <c r="G5" s="3">
        <f>F6-F5</f>
        <v>31.499999999999986</v>
      </c>
      <c r="H5" s="3">
        <f>ROUND(C5*(G5^D5),2)</f>
        <v>59.14</v>
      </c>
      <c r="I5" s="3">
        <f>I6-H5</f>
        <v>22.42</v>
      </c>
      <c r="J5">
        <f>ROUND(5/9*(I5-32),2)</f>
        <v>-5.32</v>
      </c>
      <c r="V5" s="5">
        <v>0</v>
      </c>
      <c r="W5" s="5">
        <f>-3*10^-6*V5^4+0.001*V5^3-0.0948*V5^2+6.3943*V5+23.536</f>
        <v>23.536000000000001</v>
      </c>
      <c r="X5" s="3">
        <f t="shared" ref="X5:X36" si="0">(W5+460)^0.33/$E$35</f>
        <v>0.64503792994477427</v>
      </c>
      <c r="Y5" s="3">
        <f>(141.5/X5)-131.5</f>
        <v>87.866944843250849</v>
      </c>
      <c r="Z5" s="3"/>
      <c r="AA5">
        <v>23.536000000000001</v>
      </c>
      <c r="AB5">
        <f>5*10^-9*AA5^4-6*10^-6*AA5^3+0.0024*AA5^2-0.0569*AA5+1.3851</f>
        <v>1.2986741197879805</v>
      </c>
    </row>
    <row r="6" spans="1:28" ht="15.75">
      <c r="A6" s="3">
        <v>2</v>
      </c>
      <c r="B6" s="3">
        <v>10</v>
      </c>
      <c r="C6" s="3">
        <v>4.9004000000000003</v>
      </c>
      <c r="D6" s="3">
        <v>0.71640000000000004</v>
      </c>
      <c r="E6" s="3">
        <v>54</v>
      </c>
      <c r="F6" s="3">
        <f t="shared" ref="F6:F11" si="1">(9/5*E6)+32</f>
        <v>129.19999999999999</v>
      </c>
      <c r="G6" s="3">
        <f>F7-F6</f>
        <v>41.400000000000006</v>
      </c>
      <c r="H6" s="3">
        <f t="shared" ref="H6:H11" si="2">ROUND(C6*(G6^D6),2)</f>
        <v>70.569999999999993</v>
      </c>
      <c r="I6" s="3">
        <f>I7-H6</f>
        <v>81.56</v>
      </c>
      <c r="J6">
        <f t="shared" ref="J6:J11" si="3">ROUND(5/9*(I6-32),2)</f>
        <v>27.53</v>
      </c>
      <c r="V6" s="5">
        <v>2</v>
      </c>
      <c r="W6" s="5">
        <f t="shared" ref="W6:W55" si="4">-3*10^-6*V6^4+0.001*V6^3-0.0948*V6^2+6.3943*V6+23.536</f>
        <v>35.953352000000002</v>
      </c>
      <c r="X6" s="3">
        <f t="shared" si="0"/>
        <v>0.65045793858861001</v>
      </c>
      <c r="Y6" s="3">
        <f t="shared" ref="Y6:Y55" si="5">(141.5/X6)-131.5</f>
        <v>86.039046886002239</v>
      </c>
      <c r="Z6" s="3"/>
      <c r="AA6">
        <f>AA5+25</f>
        <v>48.536000000000001</v>
      </c>
      <c r="AB6">
        <f t="shared" ref="AB6:AB23" si="6">5*10^-9*AA6^4-6*10^-6*AA6^3+0.0024*AA6^2-0.0569*AA6+1.3851</f>
        <v>3.618903003095308</v>
      </c>
    </row>
    <row r="7" spans="1:28" ht="15.75">
      <c r="A7" s="3">
        <v>3</v>
      </c>
      <c r="B7" s="3">
        <v>30</v>
      </c>
      <c r="C7" s="3">
        <v>3.0305</v>
      </c>
      <c r="D7" s="3">
        <v>0.80079999999999996</v>
      </c>
      <c r="E7" s="3">
        <v>77</v>
      </c>
      <c r="F7" s="3">
        <f t="shared" si="1"/>
        <v>170.6</v>
      </c>
      <c r="G7" s="3">
        <f>F8-F7</f>
        <v>44.100000000000023</v>
      </c>
      <c r="H7" s="3">
        <f t="shared" si="2"/>
        <v>62.86</v>
      </c>
      <c r="I7" s="3">
        <f>I8-H7</f>
        <v>152.13</v>
      </c>
      <c r="J7">
        <f t="shared" si="3"/>
        <v>66.739999999999995</v>
      </c>
      <c r="V7" s="5">
        <v>4</v>
      </c>
      <c r="W7" s="5">
        <f t="shared" si="4"/>
        <v>47.659632000000002</v>
      </c>
      <c r="X7" s="3">
        <f t="shared" si="0"/>
        <v>0.65548493189325296</v>
      </c>
      <c r="Y7" s="3">
        <f t="shared" si="5"/>
        <v>84.370713597186949</v>
      </c>
      <c r="Z7" s="3"/>
      <c r="AA7">
        <f t="shared" ref="AA7:AA21" si="7">AA6+25</f>
        <v>73.536000000000001</v>
      </c>
      <c r="AB7">
        <f t="shared" si="6"/>
        <v>7.939318510002634</v>
      </c>
    </row>
    <row r="8" spans="1:28" ht="15.75">
      <c r="A8" s="3">
        <v>4</v>
      </c>
      <c r="B8" s="3">
        <v>50</v>
      </c>
      <c r="C8" s="3">
        <v>0.87180000000000002</v>
      </c>
      <c r="D8" s="3">
        <v>1.0258</v>
      </c>
      <c r="E8" s="3">
        <v>101.5</v>
      </c>
      <c r="F8" s="3">
        <f t="shared" si="1"/>
        <v>214.70000000000002</v>
      </c>
      <c r="G8" s="3"/>
      <c r="H8" s="3">
        <f t="shared" si="2"/>
        <v>0</v>
      </c>
      <c r="I8" s="3">
        <f>ROUND(C8*(F8^D8),2)</f>
        <v>214.99</v>
      </c>
      <c r="J8">
        <f t="shared" si="3"/>
        <v>101.66</v>
      </c>
      <c r="V8" s="5">
        <v>6</v>
      </c>
      <c r="W8" s="5">
        <f t="shared" si="4"/>
        <v>58.701112000000002</v>
      </c>
      <c r="X8" s="3">
        <f t="shared" si="0"/>
        <v>0.66015575503312696</v>
      </c>
      <c r="Y8" s="3">
        <f t="shared" si="5"/>
        <v>82.843355974984206</v>
      </c>
      <c r="Z8" s="3"/>
      <c r="AA8">
        <f t="shared" si="7"/>
        <v>98.536000000000001</v>
      </c>
      <c r="AB8">
        <f t="shared" si="6"/>
        <v>13.811863140509965</v>
      </c>
    </row>
    <row r="9" spans="1:28" ht="15.75">
      <c r="A9" s="3">
        <v>5</v>
      </c>
      <c r="B9" s="3">
        <v>70</v>
      </c>
      <c r="C9" s="3">
        <v>2.5282</v>
      </c>
      <c r="D9" s="3">
        <v>0.82</v>
      </c>
      <c r="E9" s="3">
        <v>131</v>
      </c>
      <c r="F9" s="3">
        <f t="shared" si="1"/>
        <v>267.8</v>
      </c>
      <c r="G9" s="3">
        <f>F9-F8</f>
        <v>53.099999999999994</v>
      </c>
      <c r="H9" s="3">
        <f t="shared" si="2"/>
        <v>65.67</v>
      </c>
      <c r="I9" s="3">
        <f>I8+H9</f>
        <v>280.66000000000003</v>
      </c>
      <c r="J9">
        <f t="shared" si="3"/>
        <v>138.13999999999999</v>
      </c>
      <c r="V9" s="5">
        <v>8</v>
      </c>
      <c r="W9" s="5">
        <f t="shared" si="4"/>
        <v>69.122912000000014</v>
      </c>
      <c r="X9" s="3">
        <f t="shared" si="0"/>
        <v>0.6645037129581145</v>
      </c>
      <c r="Y9" s="3">
        <f t="shared" si="5"/>
        <v>81.440871872779326</v>
      </c>
      <c r="Z9" s="3"/>
      <c r="AA9">
        <f t="shared" si="7"/>
        <v>123.536</v>
      </c>
      <c r="AB9">
        <f t="shared" si="6"/>
        <v>20.835354394617291</v>
      </c>
    </row>
    <row r="10" spans="1:28" ht="15.75">
      <c r="A10" s="3">
        <v>6</v>
      </c>
      <c r="B10" s="3">
        <v>90</v>
      </c>
      <c r="C10" s="3">
        <v>3.0419</v>
      </c>
      <c r="D10" s="3">
        <v>0.77500000000000002</v>
      </c>
      <c r="E10" s="3">
        <v>171</v>
      </c>
      <c r="F10" s="3">
        <f t="shared" si="1"/>
        <v>339.8</v>
      </c>
      <c r="G10" s="3">
        <f>F10-F9</f>
        <v>72</v>
      </c>
      <c r="H10" s="3">
        <f>ROUND(C10*(G10^D10),2)</f>
        <v>83.67</v>
      </c>
      <c r="I10" s="3">
        <f>I9+H10</f>
        <v>364.33000000000004</v>
      </c>
      <c r="J10">
        <f t="shared" si="3"/>
        <v>184.63</v>
      </c>
      <c r="V10" s="5">
        <v>10</v>
      </c>
      <c r="W10" s="5">
        <f t="shared" si="4"/>
        <v>78.969000000000008</v>
      </c>
      <c r="X10" s="3">
        <f t="shared" si="0"/>
        <v>0.66855908401597741</v>
      </c>
      <c r="Y10" s="3">
        <f t="shared" si="5"/>
        <v>80.149207052907826</v>
      </c>
      <c r="Z10" s="3"/>
      <c r="AA10">
        <f t="shared" si="7"/>
        <v>148.536</v>
      </c>
      <c r="AB10">
        <f t="shared" si="6"/>
        <v>28.65548477232462</v>
      </c>
    </row>
    <row r="11" spans="1:28" ht="15.75">
      <c r="A11" s="3">
        <v>7</v>
      </c>
      <c r="B11" s="3">
        <v>95</v>
      </c>
      <c r="C11" s="3">
        <v>0.11799999999999999</v>
      </c>
      <c r="D11" s="3">
        <v>1.6606000000000001</v>
      </c>
      <c r="E11" s="3">
        <v>186.5</v>
      </c>
      <c r="F11" s="3">
        <f t="shared" si="1"/>
        <v>367.7</v>
      </c>
      <c r="G11" s="3">
        <f>F11-F10</f>
        <v>27.899999999999977</v>
      </c>
      <c r="H11" s="3">
        <f t="shared" si="2"/>
        <v>29.68</v>
      </c>
      <c r="I11" s="3">
        <f>I10+H11</f>
        <v>394.01000000000005</v>
      </c>
      <c r="J11">
        <f t="shared" si="3"/>
        <v>201.12</v>
      </c>
      <c r="V11" s="5">
        <v>12</v>
      </c>
      <c r="W11" s="5">
        <f t="shared" si="4"/>
        <v>88.282192000000009</v>
      </c>
      <c r="X11" s="3">
        <f t="shared" si="0"/>
        <v>0.67234953820877019</v>
      </c>
      <c r="Y11" s="3">
        <f t="shared" si="5"/>
        <v>78.956008309271795</v>
      </c>
      <c r="Z11" s="3"/>
      <c r="AA11">
        <f t="shared" si="7"/>
        <v>173.536</v>
      </c>
      <c r="AB11">
        <f t="shared" si="6"/>
        <v>36.964821773631947</v>
      </c>
    </row>
    <row r="12" spans="1:28" ht="15.75">
      <c r="V12" s="5">
        <v>14</v>
      </c>
      <c r="W12" s="5">
        <f t="shared" si="4"/>
        <v>97.104151999999999</v>
      </c>
      <c r="X12" s="3">
        <f t="shared" si="0"/>
        <v>0.67590048022645899</v>
      </c>
      <c r="Y12" s="3">
        <f t="shared" si="5"/>
        <v>77.850346892179658</v>
      </c>
      <c r="Z12" s="3"/>
      <c r="AA12">
        <f t="shared" si="7"/>
        <v>198.536</v>
      </c>
      <c r="AB12">
        <f t="shared" si="6"/>
        <v>45.502807898539267</v>
      </c>
    </row>
    <row r="13" spans="1:28" ht="15.75">
      <c r="V13" s="5">
        <v>16</v>
      </c>
      <c r="W13" s="5">
        <f t="shared" si="4"/>
        <v>105.475392</v>
      </c>
      <c r="X13" s="3">
        <f t="shared" si="0"/>
        <v>0.67923533253810242</v>
      </c>
      <c r="Y13" s="3">
        <f t="shared" si="5"/>
        <v>76.82249622712672</v>
      </c>
      <c r="Z13" s="3"/>
      <c r="AA13">
        <f t="shared" si="7"/>
        <v>223.536</v>
      </c>
      <c r="AB13">
        <f t="shared" si="6"/>
        <v>54.05576064704659</v>
      </c>
    </row>
    <row r="14" spans="1:28" ht="15.75">
      <c r="V14" s="5">
        <v>18</v>
      </c>
      <c r="W14" s="5">
        <f t="shared" si="4"/>
        <v>113.43527200000001</v>
      </c>
      <c r="X14" s="3">
        <f t="shared" si="0"/>
        <v>0.68237577026772966</v>
      </c>
      <c r="Y14" s="3">
        <f t="shared" si="5"/>
        <v>75.863752004973122</v>
      </c>
      <c r="Z14" s="3"/>
      <c r="AA14">
        <f t="shared" si="7"/>
        <v>248.536</v>
      </c>
      <c r="AB14">
        <f t="shared" si="6"/>
        <v>62.45687251915394</v>
      </c>
    </row>
    <row r="15" spans="1:28" ht="15.75">
      <c r="A15" t="s">
        <v>11</v>
      </c>
      <c r="V15" s="5">
        <v>20</v>
      </c>
      <c r="W15" s="5">
        <f t="shared" si="4"/>
        <v>121.02200000000001</v>
      </c>
      <c r="X15" s="3">
        <f t="shared" si="0"/>
        <v>0.68534191695381197</v>
      </c>
      <c r="Y15" s="3">
        <f t="shared" si="5"/>
        <v>74.966285659186184</v>
      </c>
      <c r="Z15" s="3"/>
      <c r="AA15">
        <f t="shared" si="7"/>
        <v>273.536</v>
      </c>
      <c r="AB15">
        <f t="shared" si="6"/>
        <v>70.58621101486122</v>
      </c>
    </row>
    <row r="16" spans="1:28" ht="15.75">
      <c r="V16" s="5">
        <v>22</v>
      </c>
      <c r="W16" s="5">
        <f t="shared" si="4"/>
        <v>128.27263199999999</v>
      </c>
      <c r="X16" s="3">
        <f t="shared" si="0"/>
        <v>0.68815250832523867</v>
      </c>
      <c r="Y16" s="3">
        <f t="shared" si="5"/>
        <v>74.123024385058898</v>
      </c>
      <c r="Z16" s="3"/>
      <c r="AA16">
        <f t="shared" si="7"/>
        <v>298.536</v>
      </c>
      <c r="AB16">
        <f t="shared" si="6"/>
        <v>78.370718634168583</v>
      </c>
    </row>
    <row r="17" spans="1:28" ht="17.25">
      <c r="A17" t="s">
        <v>12</v>
      </c>
      <c r="E17">
        <f>(F6+F7+F8+F9+F10)/5</f>
        <v>224.42</v>
      </c>
      <c r="F17" t="s">
        <v>24</v>
      </c>
      <c r="G17">
        <f>ROUND(5/9*(E17-32),2)</f>
        <v>106.9</v>
      </c>
      <c r="H17" s="3" t="s">
        <v>27</v>
      </c>
      <c r="V17" s="5">
        <v>24</v>
      </c>
      <c r="W17" s="5">
        <f t="shared" si="4"/>
        <v>135.223072</v>
      </c>
      <c r="X17" s="3">
        <f t="shared" si="0"/>
        <v>0.6908250297409263</v>
      </c>
      <c r="Y17" s="3">
        <f t="shared" si="5"/>
        <v>73.327552431135047</v>
      </c>
      <c r="Z17" s="3"/>
      <c r="AA17">
        <f t="shared" si="7"/>
        <v>323.536</v>
      </c>
      <c r="AB17">
        <f t="shared" si="6"/>
        <v>85.784212877075902</v>
      </c>
    </row>
    <row r="18" spans="1:28" ht="15.75">
      <c r="V18" s="5">
        <v>26</v>
      </c>
      <c r="W18" s="5">
        <f t="shared" si="4"/>
        <v>141.908072</v>
      </c>
      <c r="X18" s="3">
        <f t="shared" si="0"/>
        <v>0.69337583180659323</v>
      </c>
      <c r="Y18" s="3">
        <f t="shared" si="5"/>
        <v>72.574029565353101</v>
      </c>
      <c r="Z18" s="3"/>
      <c r="AA18">
        <f t="shared" si="7"/>
        <v>348.536</v>
      </c>
      <c r="AB18">
        <f t="shared" si="6"/>
        <v>92.847386243583173</v>
      </c>
    </row>
    <row r="19" spans="1:28" ht="15.75">
      <c r="A19" t="s">
        <v>13</v>
      </c>
      <c r="E19">
        <f>(F10-F6)/80</f>
        <v>2.6325000000000003</v>
      </c>
      <c r="V19" s="5">
        <v>28</v>
      </c>
      <c r="W19" s="5">
        <f t="shared" si="4"/>
        <v>148.361232</v>
      </c>
      <c r="X19" s="3">
        <f t="shared" si="0"/>
        <v>0.69582022780975084</v>
      </c>
      <c r="Y19" s="3">
        <f t="shared" si="5"/>
        <v>71.857123499273314</v>
      </c>
      <c r="Z19" s="3"/>
      <c r="AA19">
        <f>AA18+25</f>
        <v>373.536</v>
      </c>
      <c r="AB19">
        <f t="shared" si="6"/>
        <v>99.627806233690507</v>
      </c>
    </row>
    <row r="20" spans="1:28" ht="15.75">
      <c r="V20" s="5">
        <v>30</v>
      </c>
      <c r="W20" s="5">
        <f t="shared" si="4"/>
        <v>154.61500000000001</v>
      </c>
      <c r="X20" s="3">
        <f t="shared" si="0"/>
        <v>0.6981725759368862</v>
      </c>
      <c r="Y20" s="3">
        <f t="shared" si="5"/>
        <v>71.171953721641728</v>
      </c>
      <c r="Z20" s="3"/>
      <c r="AA20">
        <f t="shared" si="7"/>
        <v>398.536</v>
      </c>
      <c r="AB20">
        <f t="shared" si="6"/>
        <v>106.23991534739781</v>
      </c>
    </row>
    <row r="21" spans="1:28" ht="15.75">
      <c r="A21" t="s">
        <v>14</v>
      </c>
      <c r="V21" s="5">
        <v>32</v>
      </c>
      <c r="W21" s="5">
        <f t="shared" si="4"/>
        <v>160.70067200000003</v>
      </c>
      <c r="X21" s="3">
        <f t="shared" si="0"/>
        <v>0.70044634870735234</v>
      </c>
      <c r="Y21" s="3">
        <f t="shared" si="5"/>
        <v>70.514044703256701</v>
      </c>
      <c r="Z21" s="3"/>
      <c r="AA21">
        <f t="shared" si="7"/>
        <v>423.536</v>
      </c>
      <c r="AB21">
        <f t="shared" si="6"/>
        <v>112.84503108470523</v>
      </c>
    </row>
    <row r="22" spans="1:28" ht="15.75">
      <c r="V22" s="5">
        <v>34</v>
      </c>
      <c r="W22" s="5">
        <f t="shared" si="4"/>
        <v>166.64839200000003</v>
      </c>
      <c r="X22" s="3">
        <f t="shared" si="0"/>
        <v>0.70265419164128506</v>
      </c>
      <c r="Y22" s="3">
        <f t="shared" si="5"/>
        <v>69.879286828815736</v>
      </c>
      <c r="Z22" s="3"/>
      <c r="AA22">
        <v>441.5</v>
      </c>
      <c r="AB22">
        <f t="shared" si="6"/>
        <v>117.70152747531242</v>
      </c>
    </row>
    <row r="23" spans="1:28" ht="15.75">
      <c r="A23" s="1" t="s">
        <v>15</v>
      </c>
      <c r="V23" s="5">
        <v>36</v>
      </c>
      <c r="W23" s="5">
        <f t="shared" si="4"/>
        <v>172.48715200000001</v>
      </c>
      <c r="X23" s="3">
        <f t="shared" si="0"/>
        <v>0.70480797284777053</v>
      </c>
      <c r="Y23" s="3">
        <f t="shared" si="5"/>
        <v>69.263903717306817</v>
      </c>
      <c r="Z23" s="3"/>
      <c r="AA23">
        <v>464</v>
      </c>
      <c r="AB23">
        <f t="shared" si="6"/>
        <v>124.07167407999998</v>
      </c>
    </row>
    <row r="24" spans="1:28" ht="15.75">
      <c r="V24" s="5">
        <v>38</v>
      </c>
      <c r="W24" s="5">
        <f t="shared" si="4"/>
        <v>178.24479200000002</v>
      </c>
      <c r="X24" s="3">
        <f t="shared" si="0"/>
        <v>0.70691882495467961</v>
      </c>
      <c r="Y24" s="3">
        <f t="shared" si="5"/>
        <v>68.664424832047047</v>
      </c>
      <c r="Z24" s="3"/>
    </row>
    <row r="25" spans="1:28" ht="15.75">
      <c r="A25" s="1" t="s">
        <v>16</v>
      </c>
      <c r="E25">
        <f>EXP(-0.944202-0.00865*(E17-32)^0.6667+2.99791*(E19^0.333))</f>
        <v>18.275234496360824</v>
      </c>
      <c r="V25" s="5">
        <v>40</v>
      </c>
      <c r="W25" s="5">
        <f t="shared" si="4"/>
        <v>183.94800000000001</v>
      </c>
      <c r="X25" s="3">
        <f t="shared" si="0"/>
        <v>0.70899718058818206</v>
      </c>
      <c r="Y25" s="3">
        <f t="shared" si="5"/>
        <v>68.077662470550308</v>
      </c>
      <c r="Z25" s="3"/>
    </row>
    <row r="26" spans="1:28" ht="15.75">
      <c r="V26" s="5">
        <v>42</v>
      </c>
      <c r="W26" s="5">
        <f t="shared" si="4"/>
        <v>189.62231200000005</v>
      </c>
      <c r="X26" s="3">
        <f t="shared" si="0"/>
        <v>0.71105280243642066</v>
      </c>
      <c r="Y26" s="3">
        <f t="shared" si="5"/>
        <v>67.500692374955293</v>
      </c>
      <c r="Z26" s="3"/>
    </row>
    <row r="27" spans="1:28" ht="15.75">
      <c r="A27" t="s">
        <v>17</v>
      </c>
      <c r="V27" s="5">
        <v>44</v>
      </c>
      <c r="W27" s="5">
        <f t="shared" si="4"/>
        <v>195.29211200000003</v>
      </c>
      <c r="X27" s="3">
        <f t="shared" si="0"/>
        <v>0.71309480878942588</v>
      </c>
      <c r="Y27" s="3">
        <f t="shared" si="5"/>
        <v>66.930837324724365</v>
      </c>
      <c r="Z27" s="3"/>
    </row>
    <row r="28" spans="1:28" ht="15.75">
      <c r="V28" s="5">
        <v>46</v>
      </c>
      <c r="W28" s="5">
        <f t="shared" si="4"/>
        <v>200.98063200000001</v>
      </c>
      <c r="X28" s="3">
        <f t="shared" si="0"/>
        <v>0.7151316953292004</v>
      </c>
      <c r="Y28" s="3">
        <f t="shared" si="5"/>
        <v>66.365653171563793</v>
      </c>
      <c r="Z28" s="3"/>
    </row>
    <row r="29" spans="1:28" ht="17.25">
      <c r="A29" t="s">
        <v>18</v>
      </c>
      <c r="E29">
        <f>E17-E25</f>
        <v>206.14476550363918</v>
      </c>
      <c r="F29" t="s">
        <v>24</v>
      </c>
      <c r="G29">
        <f>ROUND(5/9*(E29-32),2)</f>
        <v>96.75</v>
      </c>
      <c r="H29" s="3" t="s">
        <v>27</v>
      </c>
      <c r="V29" s="5">
        <v>48</v>
      </c>
      <c r="W29" s="5">
        <f t="shared" si="4"/>
        <v>206.70995200000002</v>
      </c>
      <c r="X29" s="3">
        <f t="shared" si="0"/>
        <v>0.71717135384467856</v>
      </c>
      <c r="Y29" s="3">
        <f t="shared" si="5"/>
        <v>65.802916857224858</v>
      </c>
      <c r="Z29" s="3"/>
    </row>
    <row r="30" spans="1:28" ht="15.75">
      <c r="V30" s="5">
        <v>50</v>
      </c>
      <c r="W30" s="5">
        <f t="shared" si="4"/>
        <v>212.50100000000003</v>
      </c>
      <c r="X30" s="3">
        <f t="shared" si="0"/>
        <v>0.71922108846182897</v>
      </c>
      <c r="Y30" s="3">
        <f t="shared" si="5"/>
        <v>65.240616022008908</v>
      </c>
      <c r="Z30" s="3"/>
    </row>
    <row r="31" spans="1:28" ht="17.25">
      <c r="A31" t="s">
        <v>23</v>
      </c>
      <c r="E31">
        <v>62</v>
      </c>
      <c r="V31" s="5">
        <v>52</v>
      </c>
      <c r="W31" s="5">
        <f t="shared" si="4"/>
        <v>218.37355200000002</v>
      </c>
      <c r="X31" s="3">
        <f t="shared" si="0"/>
        <v>0.72128762990626083</v>
      </c>
      <c r="Y31" s="3">
        <f t="shared" si="5"/>
        <v>64.676939868481412</v>
      </c>
      <c r="Z31" s="3"/>
    </row>
    <row r="32" spans="1:28" ht="15.75">
      <c r="V32" s="5">
        <v>54</v>
      </c>
      <c r="W32" s="5">
        <f t="shared" si="4"/>
        <v>224.34623200000004</v>
      </c>
      <c r="X32" s="3">
        <f t="shared" si="0"/>
        <v>0.72337714825175736</v>
      </c>
      <c r="Y32" s="3">
        <f t="shared" si="5"/>
        <v>64.110270993456481</v>
      </c>
      <c r="Z32" s="3"/>
    </row>
    <row r="33" spans="1:26" ht="15.75">
      <c r="A33" t="s">
        <v>19</v>
      </c>
      <c r="E33">
        <f>ROUND(141.5/(E31+131.5),3)</f>
        <v>0.73099999999999998</v>
      </c>
      <c r="V33" s="5">
        <v>56</v>
      </c>
      <c r="W33" s="5">
        <f t="shared" si="4"/>
        <v>230.43651200000002</v>
      </c>
      <c r="X33" s="3">
        <f t="shared" si="0"/>
        <v>0.72549526455126401</v>
      </c>
      <c r="Y33" s="3">
        <f t="shared" si="5"/>
        <v>63.539177943526767</v>
      </c>
      <c r="Z33" s="3"/>
    </row>
    <row r="34" spans="1:26" ht="15.75">
      <c r="V34" s="5">
        <v>58</v>
      </c>
      <c r="W34" s="5">
        <f t="shared" si="4"/>
        <v>236.66071200000005</v>
      </c>
      <c r="X34" s="3">
        <f t="shared" si="0"/>
        <v>0.72764706169550053</v>
      </c>
      <c r="Y34" s="3">
        <f t="shared" si="5"/>
        <v>62.96240828663403</v>
      </c>
      <c r="Z34" s="3"/>
    </row>
    <row r="35" spans="1:26" ht="15.75">
      <c r="A35" t="s">
        <v>20</v>
      </c>
      <c r="E35">
        <f>ROUND((E29+460)^0.333/E33,2)</f>
        <v>11.92</v>
      </c>
      <c r="V35" s="5">
        <v>60</v>
      </c>
      <c r="W35" s="5">
        <f t="shared" si="4"/>
        <v>243.03400000000005</v>
      </c>
      <c r="X35" s="3">
        <f t="shared" si="0"/>
        <v>0.72983709479737535</v>
      </c>
      <c r="Y35" s="3">
        <f t="shared" si="5"/>
        <v>62.378882025426009</v>
      </c>
      <c r="Z35" s="3"/>
    </row>
    <row r="36" spans="1:26" ht="15.75">
      <c r="V36" s="5">
        <v>62</v>
      </c>
      <c r="W36" s="5">
        <f t="shared" si="4"/>
        <v>249.57039200000003</v>
      </c>
      <c r="X36" s="3">
        <f t="shared" si="0"/>
        <v>0.73206940135698184</v>
      </c>
      <c r="Y36" s="3">
        <f t="shared" si="5"/>
        <v>61.78768520814026</v>
      </c>
      <c r="Z36" s="3"/>
    </row>
    <row r="37" spans="1:26" ht="15.75">
      <c r="V37" s="5">
        <v>64</v>
      </c>
      <c r="W37" s="5">
        <f t="shared" si="4"/>
        <v>256.28275200000007</v>
      </c>
      <c r="X37" s="3">
        <f t="shared" ref="X37:X55" si="8">(W37+460)^0.33/$E$35</f>
        <v>0.73434751142154608</v>
      </c>
      <c r="Y37" s="3">
        <f t="shared" si="5"/>
        <v>61.188063620022405</v>
      </c>
      <c r="Z37" s="3"/>
    </row>
    <row r="38" spans="1:26" ht="15.75">
      <c r="V38" s="5">
        <v>66</v>
      </c>
      <c r="W38" s="5">
        <f t="shared" si="4"/>
        <v>263.18279199999995</v>
      </c>
      <c r="X38" s="3">
        <f t="shared" si="8"/>
        <v>0.7366744579168496</v>
      </c>
      <c r="Y38" s="3">
        <f t="shared" si="5"/>
        <v>60.57941646318281</v>
      </c>
      <c r="Z38" s="3"/>
    </row>
    <row r="39" spans="1:26" ht="15.75">
      <c r="V39" s="5">
        <v>68</v>
      </c>
      <c r="W39" s="5">
        <f t="shared" si="4"/>
        <v>270.28107200000011</v>
      </c>
      <c r="X39" s="3">
        <f t="shared" si="8"/>
        <v>0.73905278729122836</v>
      </c>
      <c r="Y39" s="3">
        <f t="shared" si="5"/>
        <v>59.961289955518481</v>
      </c>
      <c r="Z39" s="3"/>
    </row>
    <row r="40" spans="1:26" ht="15.75">
      <c r="V40" s="5">
        <v>70</v>
      </c>
      <c r="W40" s="5">
        <f t="shared" si="4"/>
        <v>277.58700000000005</v>
      </c>
      <c r="X40" s="3">
        <f t="shared" si="8"/>
        <v>0.74148457058004247</v>
      </c>
      <c r="Y40" s="3">
        <f t="shared" si="5"/>
        <v>59.333370800026955</v>
      </c>
      <c r="Z40" s="3"/>
    </row>
    <row r="41" spans="1:26" ht="15.75">
      <c r="V41" s="5">
        <v>72</v>
      </c>
      <c r="W41" s="5">
        <f t="shared" si="4"/>
        <v>285.10883200000006</v>
      </c>
      <c r="X41" s="3">
        <f t="shared" si="8"/>
        <v>0.7439714149675587</v>
      </c>
      <c r="Y41" s="3">
        <f t="shared" si="5"/>
        <v>58.695479494558526</v>
      </c>
      <c r="Z41" s="3"/>
    </row>
    <row r="42" spans="1:26" ht="15.75">
      <c r="V42" s="5">
        <v>74</v>
      </c>
      <c r="W42" s="5">
        <f t="shared" si="4"/>
        <v>292.85367200000007</v>
      </c>
      <c r="X42" s="3">
        <f t="shared" si="8"/>
        <v>0.74651447589451336</v>
      </c>
      <c r="Y42" s="3">
        <f t="shared" si="5"/>
        <v>58.047563468809045</v>
      </c>
      <c r="Z42" s="3"/>
    </row>
    <row r="43" spans="1:26" ht="15.75">
      <c r="V43" s="5">
        <v>76</v>
      </c>
      <c r="W43" s="5">
        <f t="shared" si="4"/>
        <v>300.82747200000006</v>
      </c>
      <c r="X43" s="3">
        <f t="shared" si="8"/>
        <v>0.74911446973330786</v>
      </c>
      <c r="Y43" s="3">
        <f t="shared" si="5"/>
        <v>57.389690050140672</v>
      </c>
      <c r="Z43" s="3"/>
    </row>
    <row r="44" spans="1:26" ht="15.75">
      <c r="V44" s="5">
        <v>78</v>
      </c>
      <c r="W44" s="5">
        <f t="shared" si="4"/>
        <v>309.03503200000006</v>
      </c>
      <c r="X44" s="3">
        <f t="shared" si="8"/>
        <v>0.75177168702889419</v>
      </c>
      <c r="Y44" s="3">
        <f t="shared" si="5"/>
        <v>56.722039272624897</v>
      </c>
      <c r="Z44" s="3"/>
    </row>
    <row r="45" spans="1:26" ht="15.75">
      <c r="V45" s="5">
        <v>80</v>
      </c>
      <c r="W45" s="5">
        <f t="shared" si="4"/>
        <v>317.48</v>
      </c>
      <c r="X45" s="3">
        <f t="shared" si="8"/>
        <v>0.75448600628207441</v>
      </c>
      <c r="Y45" s="3">
        <f t="shared" si="5"/>
        <v>56.04489655451394</v>
      </c>
      <c r="Z45" s="3"/>
    </row>
    <row r="46" spans="1:26" ht="15.75">
      <c r="V46" s="5">
        <v>82</v>
      </c>
      <c r="W46" s="5">
        <f t="shared" si="4"/>
        <v>326.16487200000012</v>
      </c>
      <c r="X46" s="3">
        <f t="shared" si="8"/>
        <v>0.75725690823319791</v>
      </c>
      <c r="Y46" s="3">
        <f t="shared" si="5"/>
        <v>55.358645278182081</v>
      </c>
      <c r="Z46" s="3"/>
    </row>
    <row r="47" spans="1:26" ht="15.75">
      <c r="V47" s="5">
        <v>84</v>
      </c>
      <c r="W47" s="5">
        <f t="shared" si="4"/>
        <v>335.0909920000002</v>
      </c>
      <c r="X47" s="3">
        <f t="shared" si="8"/>
        <v>0.76008349058814284</v>
      </c>
      <c r="Y47" s="3">
        <f t="shared" si="5"/>
        <v>54.663759313479005</v>
      </c>
      <c r="Z47" s="3"/>
    </row>
    <row r="48" spans="1:26" ht="15.75">
      <c r="V48" s="5">
        <v>86</v>
      </c>
      <c r="W48" s="5">
        <f t="shared" si="4"/>
        <v>344.25855200000007</v>
      </c>
      <c r="X48" s="3">
        <f t="shared" si="8"/>
        <v>0.76296448311506126</v>
      </c>
      <c r="Y48" s="3">
        <f t="shared" si="5"/>
        <v>53.960795530452828</v>
      </c>
      <c r="Z48" s="3"/>
    </row>
    <row r="49" spans="22:26" ht="15.75">
      <c r="V49" s="5">
        <v>88</v>
      </c>
      <c r="W49" s="5">
        <f t="shared" si="4"/>
        <v>353.66659200000004</v>
      </c>
      <c r="X49" s="3">
        <f t="shared" si="8"/>
        <v>0.76589826302954789</v>
      </c>
      <c r="Y49" s="3">
        <f t="shared" si="5"/>
        <v>53.250386350649052</v>
      </c>
      <c r="Z49" s="3"/>
    </row>
    <row r="50" spans="22:26" ht="15.75">
      <c r="V50" s="5">
        <v>90</v>
      </c>
      <c r="W50" s="5">
        <f t="shared" si="4"/>
        <v>363.31300000000005</v>
      </c>
      <c r="X50" s="3">
        <f t="shared" si="8"/>
        <v>0.76888287057769455</v>
      </c>
      <c r="Y50" s="3">
        <f t="shared" si="5"/>
        <v>52.533232387769289</v>
      </c>
      <c r="Z50" s="3"/>
    </row>
    <row r="51" spans="22:26" ht="15.75">
      <c r="V51" s="5">
        <v>92</v>
      </c>
      <c r="W51" s="5">
        <f t="shared" si="4"/>
        <v>373.19451199999997</v>
      </c>
      <c r="X51" s="3">
        <f t="shared" si="8"/>
        <v>0.771916024720672</v>
      </c>
      <c r="Y51" s="3">
        <f t="shared" si="5"/>
        <v>51.810095228562773</v>
      </c>
      <c r="Z51" s="3"/>
    </row>
    <row r="52" spans="22:26" ht="15.75">
      <c r="V52" s="5">
        <v>94</v>
      </c>
      <c r="W52" s="5">
        <f t="shared" si="4"/>
        <v>383.30671200000012</v>
      </c>
      <c r="X52" s="3">
        <f t="shared" si="8"/>
        <v>0.77499513882102578</v>
      </c>
      <c r="Y52" s="3">
        <f t="shared" si="5"/>
        <v>51.081790403562053</v>
      </c>
      <c r="Z52" s="3"/>
    </row>
    <row r="53" spans="22:26" ht="15.75">
      <c r="V53" s="5">
        <v>96</v>
      </c>
      <c r="W53" s="5">
        <f t="shared" si="4"/>
        <v>393.64403199999998</v>
      </c>
      <c r="X53" s="3">
        <f t="shared" si="8"/>
        <v>0.77811733622946977</v>
      </c>
      <c r="Y53" s="3">
        <f t="shared" si="5"/>
        <v>50.349180594880238</v>
      </c>
      <c r="Z53" s="3"/>
    </row>
    <row r="54" spans="22:26" ht="15.75">
      <c r="V54" s="5">
        <v>98</v>
      </c>
      <c r="W54" s="5">
        <f t="shared" si="4"/>
        <v>404.19975199999993</v>
      </c>
      <c r="X54" s="3">
        <f t="shared" si="8"/>
        <v>0.78127946567150408</v>
      </c>
      <c r="Y54" s="3">
        <f t="shared" si="5"/>
        <v>49.613169124932483</v>
      </c>
      <c r="Z54" s="3"/>
    </row>
    <row r="55" spans="22:26" ht="15.75">
      <c r="V55" s="5">
        <v>100</v>
      </c>
      <c r="W55" s="5">
        <f t="shared" si="4"/>
        <v>414.96600000000007</v>
      </c>
      <c r="X55" s="3">
        <f t="shared" si="8"/>
        <v>0.78447811633535691</v>
      </c>
      <c r="Y55" s="3">
        <f t="shared" si="5"/>
        <v>48.874693765848917</v>
      </c>
      <c r="Z55" s="3"/>
    </row>
    <row r="57" spans="22:26">
      <c r="V57" t="s">
        <v>32</v>
      </c>
    </row>
    <row r="60" spans="22:26">
      <c r="V60" s="6" t="s">
        <v>33</v>
      </c>
      <c r="W60" s="6"/>
      <c r="X60" s="7" t="s">
        <v>42</v>
      </c>
      <c r="Y60" s="7" t="s">
        <v>43</v>
      </c>
      <c r="Z60" s="7" t="s">
        <v>44</v>
      </c>
    </row>
    <row r="61" spans="22:26">
      <c r="V61" s="6"/>
      <c r="W61" s="6"/>
      <c r="X61" s="7" t="s">
        <v>3</v>
      </c>
      <c r="Y61" s="7" t="s">
        <v>46</v>
      </c>
      <c r="Z61" s="7" t="s">
        <v>45</v>
      </c>
    </row>
    <row r="62" spans="22:26">
      <c r="V62" s="6">
        <v>1</v>
      </c>
      <c r="W62" s="6" t="s">
        <v>34</v>
      </c>
      <c r="X62" s="7">
        <v>50</v>
      </c>
      <c r="Y62" s="7">
        <f>5*10^-9*X62^4-6*10^-6*X62^3+0.0024*X62^2-0.0569*X62+1.3851</f>
        <v>3.8213499999999994</v>
      </c>
      <c r="Z62" s="7">
        <f>Y62</f>
        <v>3.8213499999999994</v>
      </c>
    </row>
    <row r="63" spans="22:26">
      <c r="V63" s="6">
        <v>2</v>
      </c>
      <c r="W63" s="6" t="s">
        <v>35</v>
      </c>
      <c r="X63" s="7">
        <v>158</v>
      </c>
      <c r="Y63" s="7">
        <f t="shared" ref="Y63:Y64" si="9">5*10^-9*X63^4-6*10^-6*X63^3+0.0024*X63^2-0.0569*X63+1.3851</f>
        <v>31.758634479999991</v>
      </c>
      <c r="Z63" s="7">
        <f>Y63-Y2</f>
        <v>31.758634479999991</v>
      </c>
    </row>
    <row r="64" spans="22:26">
      <c r="V64" s="6">
        <v>3</v>
      </c>
      <c r="W64" s="6" t="s">
        <v>36</v>
      </c>
      <c r="X64" s="7">
        <v>356</v>
      </c>
      <c r="Y64" s="7">
        <f t="shared" si="9"/>
        <v>94.89707247999992</v>
      </c>
      <c r="Z64" s="7">
        <f>Y64-Y63</f>
        <v>63.13843799999993</v>
      </c>
    </row>
    <row r="65" spans="22:26">
      <c r="V65" s="6">
        <v>4</v>
      </c>
      <c r="W65" s="6" t="s">
        <v>37</v>
      </c>
      <c r="X65" s="7">
        <v>464</v>
      </c>
      <c r="Y65" s="7">
        <v>100</v>
      </c>
      <c r="Z65" s="7">
        <f>Y65-Y64</f>
        <v>5.1029275200000797</v>
      </c>
    </row>
    <row r="66" spans="22:26">
      <c r="V66" s="6">
        <v>5</v>
      </c>
      <c r="W66" s="6" t="s">
        <v>38</v>
      </c>
      <c r="X66" s="7">
        <v>554</v>
      </c>
      <c r="Y66" s="7">
        <v>100</v>
      </c>
      <c r="Z66" s="7">
        <f t="shared" ref="Z66:Z68" si="10">Y66-Y65</f>
        <v>0</v>
      </c>
    </row>
    <row r="67" spans="22:26">
      <c r="V67" s="6">
        <v>6</v>
      </c>
      <c r="W67" s="6" t="s">
        <v>39</v>
      </c>
      <c r="X67" s="7">
        <v>644</v>
      </c>
      <c r="Y67" s="7">
        <v>100</v>
      </c>
      <c r="Z67" s="7">
        <f t="shared" si="10"/>
        <v>0</v>
      </c>
    </row>
    <row r="68" spans="22:26">
      <c r="V68" s="6">
        <v>7</v>
      </c>
      <c r="W68" s="6" t="s">
        <v>40</v>
      </c>
      <c r="X68" s="7">
        <v>698</v>
      </c>
      <c r="Y68" s="7">
        <v>100</v>
      </c>
      <c r="Z68" s="7">
        <f t="shared" si="10"/>
        <v>0</v>
      </c>
    </row>
    <row r="69" spans="22:26">
      <c r="V69" s="6"/>
      <c r="W69" s="6" t="s">
        <v>41</v>
      </c>
      <c r="X69" s="7"/>
      <c r="Y69" s="7"/>
      <c r="Z69" s="7"/>
    </row>
    <row r="70" spans="22:26">
      <c r="V70" s="6"/>
      <c r="W70" s="6"/>
      <c r="X70" s="7"/>
      <c r="Y70" s="7"/>
      <c r="Z70" s="7"/>
    </row>
    <row r="71" spans="22:26">
      <c r="V71" s="6"/>
      <c r="W71" s="6"/>
      <c r="X71" s="7"/>
      <c r="Y71" s="7"/>
      <c r="Z71" s="7">
        <f>SUM(Z62:Z70)</f>
        <v>103.82135000000001</v>
      </c>
    </row>
    <row r="72" spans="22:26" ht="15.75">
      <c r="V72" s="2"/>
      <c r="W72" s="2"/>
    </row>
    <row r="73" spans="22:26" ht="15.75">
      <c r="V73" s="2"/>
      <c r="W73" s="2"/>
    </row>
    <row r="74" spans="22:26" ht="15.75">
      <c r="V74" s="2"/>
      <c r="W74" s="2"/>
    </row>
    <row r="75" spans="22:26" ht="15.75">
      <c r="V75" s="2"/>
      <c r="W75" s="2"/>
    </row>
    <row r="76" spans="22:26" ht="15.75">
      <c r="V76" s="2"/>
      <c r="W76" s="2"/>
    </row>
    <row r="77" spans="22:26" ht="15.75">
      <c r="V77" s="2"/>
      <c r="W77" s="2"/>
    </row>
    <row r="78" spans="22:26" ht="15.75">
      <c r="V78" s="2"/>
      <c r="W78" s="2"/>
    </row>
    <row r="79" spans="22:26" ht="15.75">
      <c r="V79" s="2"/>
      <c r="W79" s="2"/>
    </row>
    <row r="80" spans="22:26" ht="15.75">
      <c r="V80" s="2"/>
      <c r="W80" s="2"/>
    </row>
    <row r="81" spans="22:23" ht="15.75">
      <c r="V81" s="2"/>
      <c r="W81" s="2"/>
    </row>
    <row r="82" spans="22:23" ht="15.75">
      <c r="V82" s="2"/>
      <c r="W82" s="2"/>
    </row>
    <row r="83" spans="22:23" ht="15.75">
      <c r="V83" s="2"/>
      <c r="W83" s="2"/>
    </row>
    <row r="84" spans="22:23" ht="15.75">
      <c r="V84" s="2"/>
      <c r="W84" s="2"/>
    </row>
    <row r="85" spans="22:23" ht="15.75">
      <c r="V85" s="2"/>
      <c r="W85" s="2"/>
    </row>
    <row r="86" spans="22:23" ht="15.75">
      <c r="V86" s="2"/>
      <c r="W86" s="2"/>
    </row>
    <row r="87" spans="22:23" ht="15.75">
      <c r="V87" s="2"/>
      <c r="W87" s="2"/>
    </row>
    <row r="88" spans="22:23" ht="15.75">
      <c r="V88" s="2"/>
      <c r="W88" s="2"/>
    </row>
    <row r="89" spans="22:23" ht="15.75">
      <c r="V89" s="2"/>
      <c r="W89" s="2"/>
    </row>
    <row r="90" spans="22:23" ht="15.75">
      <c r="V90" s="2"/>
      <c r="W90" s="2"/>
    </row>
    <row r="91" spans="22:23" ht="15.75">
      <c r="V91" s="2"/>
      <c r="W91" s="2"/>
    </row>
    <row r="92" spans="22:23" ht="15.75">
      <c r="V92" s="2"/>
      <c r="W92" s="2"/>
    </row>
    <row r="93" spans="22:23" ht="15.75">
      <c r="V93" s="2"/>
      <c r="W93" s="2"/>
    </row>
    <row r="94" spans="22:23" ht="15.75">
      <c r="V94" s="2"/>
      <c r="W94" s="2"/>
    </row>
    <row r="95" spans="22:23" ht="15.75">
      <c r="V95" s="2"/>
      <c r="W95" s="2"/>
    </row>
    <row r="96" spans="22:23" ht="15.75">
      <c r="V96" s="2"/>
      <c r="W96" s="2"/>
    </row>
    <row r="97" spans="22:23" ht="15.75">
      <c r="V97" s="2"/>
      <c r="W97" s="2"/>
    </row>
    <row r="98" spans="22:23" ht="15.75">
      <c r="V98" s="2"/>
      <c r="W98" s="2"/>
    </row>
    <row r="99" spans="22:23" ht="15.75">
      <c r="V99" s="2"/>
      <c r="W99" s="2"/>
    </row>
    <row r="100" spans="22:23" ht="15.75">
      <c r="V100" s="2"/>
      <c r="W100" s="2"/>
    </row>
    <row r="101" spans="22:23" ht="15.75">
      <c r="V101" s="2"/>
      <c r="W101" s="2"/>
    </row>
    <row r="102" spans="22:23" ht="15.75">
      <c r="V102" s="2"/>
      <c r="W102" s="2"/>
    </row>
    <row r="103" spans="22:23" ht="15.75">
      <c r="V103" s="2"/>
      <c r="W103" s="2"/>
    </row>
    <row r="104" spans="22:23" ht="15.75">
      <c r="V104" s="2"/>
      <c r="W104" s="2"/>
    </row>
    <row r="105" spans="22:23" ht="15.75">
      <c r="V105" s="2"/>
      <c r="W105" s="2"/>
    </row>
    <row r="106" spans="22:23" ht="15.75">
      <c r="V106" s="2"/>
      <c r="W106" s="2"/>
    </row>
    <row r="107" spans="22:23" ht="15.75">
      <c r="V107" s="2"/>
      <c r="W107" s="2"/>
    </row>
    <row r="108" spans="22:23" ht="15.75">
      <c r="V108" s="2"/>
      <c r="W108" s="2"/>
    </row>
    <row r="109" spans="22:23" ht="15.75">
      <c r="V109" s="2"/>
      <c r="W109" s="2"/>
    </row>
    <row r="110" spans="22:23" ht="15.75">
      <c r="V110" s="2"/>
      <c r="W110" s="2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3:S56"/>
  <sheetViews>
    <sheetView topLeftCell="A40" zoomScale="140" zoomScaleNormal="140" workbookViewId="0">
      <selection activeCell="J12" sqref="J12"/>
    </sheetView>
  </sheetViews>
  <sheetFormatPr defaultRowHeight="15"/>
  <sheetData>
    <row r="3" spans="1:19" ht="21.75">
      <c r="A3" s="3" t="s">
        <v>8</v>
      </c>
      <c r="B3" s="3" t="s">
        <v>0</v>
      </c>
      <c r="C3" s="3"/>
      <c r="D3" s="3"/>
      <c r="E3" s="3" t="s">
        <v>6</v>
      </c>
      <c r="F3" s="3" t="s">
        <v>6</v>
      </c>
      <c r="G3" s="4" t="s">
        <v>7</v>
      </c>
      <c r="H3" s="4" t="s">
        <v>10</v>
      </c>
      <c r="I3" s="3" t="s">
        <v>2</v>
      </c>
      <c r="J3" s="3" t="s">
        <v>2</v>
      </c>
      <c r="O3" t="s">
        <v>31</v>
      </c>
    </row>
    <row r="4" spans="1:19" ht="18.75">
      <c r="A4" s="3" t="s">
        <v>9</v>
      </c>
      <c r="B4" s="3" t="s">
        <v>1</v>
      </c>
      <c r="C4" s="3" t="s">
        <v>25</v>
      </c>
      <c r="D4" s="3" t="s">
        <v>26</v>
      </c>
      <c r="E4" s="3" t="s">
        <v>27</v>
      </c>
      <c r="F4" s="3" t="s">
        <v>24</v>
      </c>
      <c r="G4" s="3"/>
      <c r="H4" s="3" t="s">
        <v>24</v>
      </c>
      <c r="I4" s="3" t="s">
        <v>24</v>
      </c>
      <c r="J4" s="3" t="s">
        <v>27</v>
      </c>
    </row>
    <row r="5" spans="1:19" ht="17.25">
      <c r="A5" s="3">
        <v>1</v>
      </c>
      <c r="B5" s="3">
        <v>0</v>
      </c>
      <c r="C5" s="3">
        <v>7.4012000000000002</v>
      </c>
      <c r="D5" s="3">
        <v>0.60240000000000005</v>
      </c>
      <c r="E5" s="3">
        <v>138</v>
      </c>
      <c r="F5" s="3">
        <f>(9/5*E5)+32</f>
        <v>280.39999999999998</v>
      </c>
      <c r="G5" s="3">
        <f>F6-F5</f>
        <v>20.879999999999995</v>
      </c>
      <c r="H5" s="3">
        <f>ROUND(C5*(G5^D5),2)</f>
        <v>46.16</v>
      </c>
      <c r="I5" s="3">
        <f>I6-H5</f>
        <v>228.75999999999996</v>
      </c>
      <c r="J5">
        <f>ROUND(5/9*(I5-32),2)</f>
        <v>109.31</v>
      </c>
      <c r="O5" s="3" t="s">
        <v>21</v>
      </c>
      <c r="P5" s="3" t="s">
        <v>47</v>
      </c>
      <c r="Q5" t="s">
        <v>48</v>
      </c>
      <c r="R5" s="3" t="s">
        <v>22</v>
      </c>
      <c r="S5" s="3" t="s">
        <v>30</v>
      </c>
    </row>
    <row r="6" spans="1:19" ht="15.75">
      <c r="A6" s="3">
        <v>2</v>
      </c>
      <c r="B6" s="3">
        <v>10</v>
      </c>
      <c r="C6" s="3">
        <v>4.9004000000000003</v>
      </c>
      <c r="D6" s="3">
        <v>0.71640000000000004</v>
      </c>
      <c r="E6" s="3">
        <v>149.6</v>
      </c>
      <c r="F6" s="3">
        <f t="shared" ref="F6:F11" si="0">(9/5*E6)+32</f>
        <v>301.27999999999997</v>
      </c>
      <c r="G6" s="3">
        <f>F7-F6</f>
        <v>16.560000000000059</v>
      </c>
      <c r="H6" s="3">
        <f t="shared" ref="H6:H11" si="1">ROUND(C6*(G6^D6),2)</f>
        <v>36.61</v>
      </c>
      <c r="I6" s="3">
        <f>I7-H6</f>
        <v>274.91999999999996</v>
      </c>
      <c r="J6">
        <f t="shared" ref="J6:J11" si="2">ROUND(5/9*(I6-32),2)</f>
        <v>134.96</v>
      </c>
      <c r="O6" s="5">
        <v>0</v>
      </c>
      <c r="P6" s="5">
        <f>-4*10^-6*O6^4+0.0009*O6^3-0.0732*O6^2+3.0895*O6+109.65</f>
        <v>109.65</v>
      </c>
      <c r="Q6">
        <f>(9/5*P6)+32</f>
        <v>229.37</v>
      </c>
      <c r="R6" s="3">
        <f>(Q6+460)^0.33/$E$35</f>
        <v>0.75226222930191833</v>
      </c>
      <c r="S6" s="3">
        <f>(141.5/R6)-131.5</f>
        <v>56.59930166414</v>
      </c>
    </row>
    <row r="7" spans="1:19" ht="15.75">
      <c r="A7" s="3">
        <v>3</v>
      </c>
      <c r="B7" s="3">
        <v>30</v>
      </c>
      <c r="C7" s="3">
        <v>3.0305</v>
      </c>
      <c r="D7" s="3">
        <v>0.80079999999999996</v>
      </c>
      <c r="E7" s="3">
        <v>158.80000000000001</v>
      </c>
      <c r="F7" s="3">
        <f t="shared" si="0"/>
        <v>317.84000000000003</v>
      </c>
      <c r="G7" s="3">
        <f>F8-F7</f>
        <v>12.600000000000023</v>
      </c>
      <c r="H7" s="3">
        <f t="shared" si="1"/>
        <v>23.05</v>
      </c>
      <c r="I7" s="3">
        <f>I8-H7</f>
        <v>311.52999999999997</v>
      </c>
      <c r="J7">
        <f t="shared" si="2"/>
        <v>155.29</v>
      </c>
      <c r="O7" s="5">
        <v>2</v>
      </c>
      <c r="P7" s="5">
        <f t="shared" ref="P7:P56" si="3">-4*10^-6*O7^4+0.0009*O7^3-0.0732*O7^2+3.0895*O7+109.65</f>
        <v>115.54333600000001</v>
      </c>
      <c r="Q7">
        <f t="shared" ref="Q7:Q56" si="4">(9/5*P7)+32</f>
        <v>239.97800480000004</v>
      </c>
      <c r="R7" s="3">
        <f t="shared" ref="R7:R56" si="5">(Q7+460)^0.33/$E$35</f>
        <v>0.7560627144474078</v>
      </c>
      <c r="S7" s="3">
        <f t="shared" ref="S7:S56" si="6">(141.5/R7)-131.5</f>
        <v>55.653786711225024</v>
      </c>
    </row>
    <row r="8" spans="1:19" ht="15.75">
      <c r="A8" s="3">
        <v>4</v>
      </c>
      <c r="B8" s="3">
        <v>50</v>
      </c>
      <c r="C8" s="3">
        <v>0.87180000000000002</v>
      </c>
      <c r="D8" s="3">
        <v>1.0258</v>
      </c>
      <c r="E8" s="3">
        <v>165.8</v>
      </c>
      <c r="F8" s="3">
        <f t="shared" si="0"/>
        <v>330.44000000000005</v>
      </c>
      <c r="G8" s="3"/>
      <c r="H8" s="3">
        <f t="shared" si="1"/>
        <v>0</v>
      </c>
      <c r="I8" s="3">
        <f>ROUND(C8*(F8^D8),2)</f>
        <v>334.58</v>
      </c>
      <c r="J8">
        <f t="shared" si="2"/>
        <v>168.1</v>
      </c>
      <c r="O8" s="5">
        <v>4</v>
      </c>
      <c r="P8" s="5">
        <f t="shared" si="3"/>
        <v>120.893376</v>
      </c>
      <c r="Q8">
        <f t="shared" si="4"/>
        <v>249.60807680000002</v>
      </c>
      <c r="R8" s="3">
        <f t="shared" si="5"/>
        <v>0.75947956472323563</v>
      </c>
      <c r="S8" s="3">
        <f t="shared" si="6"/>
        <v>54.811793723593439</v>
      </c>
    </row>
    <row r="9" spans="1:19" ht="15.75">
      <c r="A9" s="3">
        <v>5</v>
      </c>
      <c r="B9" s="3">
        <v>70</v>
      </c>
      <c r="C9" s="3">
        <v>2.5282</v>
      </c>
      <c r="D9" s="3">
        <v>0.82</v>
      </c>
      <c r="E9" s="3">
        <v>169.9</v>
      </c>
      <c r="F9" s="3">
        <f t="shared" si="0"/>
        <v>337.82</v>
      </c>
      <c r="G9" s="3">
        <f>F9-F8</f>
        <v>7.3799999999999386</v>
      </c>
      <c r="H9" s="3">
        <f t="shared" si="1"/>
        <v>13.02</v>
      </c>
      <c r="I9" s="3">
        <f>I8+H9</f>
        <v>347.59999999999997</v>
      </c>
      <c r="J9">
        <f t="shared" si="2"/>
        <v>175.33</v>
      </c>
      <c r="O9" s="5">
        <v>6</v>
      </c>
      <c r="P9" s="5">
        <f t="shared" si="3"/>
        <v>125.741016</v>
      </c>
      <c r="Q9">
        <f t="shared" si="4"/>
        <v>258.33382879999999</v>
      </c>
      <c r="R9" s="3">
        <f t="shared" si="5"/>
        <v>0.76254882583555872</v>
      </c>
      <c r="S9" s="3">
        <f t="shared" si="6"/>
        <v>54.061888243617915</v>
      </c>
    </row>
    <row r="10" spans="1:19" ht="15.75">
      <c r="A10" s="3">
        <v>6</v>
      </c>
      <c r="B10" s="3">
        <v>90</v>
      </c>
      <c r="C10" s="3">
        <v>3.0419</v>
      </c>
      <c r="D10" s="3">
        <v>0.77500000000000002</v>
      </c>
      <c r="E10" s="3">
        <v>178.1</v>
      </c>
      <c r="F10" s="3">
        <f t="shared" si="0"/>
        <v>352.58</v>
      </c>
      <c r="G10" s="3">
        <f>F10-F9</f>
        <v>14.759999999999991</v>
      </c>
      <c r="H10" s="3">
        <f>ROUND(C10*(G10^D10),2)</f>
        <v>24.5</v>
      </c>
      <c r="I10" s="3">
        <f>I9+H10</f>
        <v>372.09999999999997</v>
      </c>
      <c r="J10">
        <f t="shared" si="2"/>
        <v>188.94</v>
      </c>
      <c r="O10" s="5">
        <v>8</v>
      </c>
      <c r="P10" s="5">
        <f t="shared" si="3"/>
        <v>130.12561600000001</v>
      </c>
      <c r="Q10">
        <f t="shared" si="4"/>
        <v>266.22610880000002</v>
      </c>
      <c r="R10" s="3">
        <f t="shared" si="5"/>
        <v>0.76530347364622553</v>
      </c>
      <c r="S10" s="3">
        <f t="shared" si="6"/>
        <v>53.393973270283055</v>
      </c>
    </row>
    <row r="11" spans="1:19" ht="15.75">
      <c r="A11" s="3">
        <v>7</v>
      </c>
      <c r="B11" s="3">
        <v>95</v>
      </c>
      <c r="C11" s="3">
        <v>0.11799999999999999</v>
      </c>
      <c r="D11" s="3">
        <v>1.6606000000000001</v>
      </c>
      <c r="E11" s="3">
        <v>180.4</v>
      </c>
      <c r="F11" s="3">
        <f t="shared" si="0"/>
        <v>356.72</v>
      </c>
      <c r="G11" s="3">
        <f>F11-F10</f>
        <v>4.1400000000000432</v>
      </c>
      <c r="H11" s="3">
        <f t="shared" si="1"/>
        <v>1.25</v>
      </c>
      <c r="I11" s="3">
        <f>I10+H11</f>
        <v>373.34999999999997</v>
      </c>
      <c r="J11">
        <f t="shared" si="2"/>
        <v>189.64</v>
      </c>
      <c r="O11" s="5">
        <v>10</v>
      </c>
      <c r="P11" s="5">
        <f t="shared" si="3"/>
        <v>134.08500000000001</v>
      </c>
      <c r="Q11">
        <f t="shared" si="4"/>
        <v>273.35300000000001</v>
      </c>
      <c r="R11" s="3">
        <f t="shared" si="5"/>
        <v>0.76777379555598546</v>
      </c>
      <c r="S11" s="3">
        <f t="shared" si="6"/>
        <v>52.799074569916002</v>
      </c>
    </row>
    <row r="12" spans="1:19" ht="15.75">
      <c r="B12" s="3">
        <v>100</v>
      </c>
      <c r="E12">
        <f>-1*10^-6*B12^4+0.0003*B12^3-0.0268*B12^2+1.2941*B12+138.31</f>
        <v>199.72</v>
      </c>
      <c r="F12" s="3">
        <f>ROUND(9/5*E12+32,2)</f>
        <v>391.5</v>
      </c>
      <c r="J12">
        <f>-3*10^-6*B12^4+0.0008*B12^3-0.071*B12^2+3.0548*B12+109.71</f>
        <v>205.19000000000011</v>
      </c>
      <c r="O12" s="5">
        <v>12</v>
      </c>
      <c r="P12" s="5">
        <f t="shared" si="3"/>
        <v>137.65545600000002</v>
      </c>
      <c r="Q12">
        <f t="shared" si="4"/>
        <v>279.77982080000004</v>
      </c>
      <c r="R12" s="3">
        <f t="shared" si="5"/>
        <v>0.76998770403534356</v>
      </c>
      <c r="S12" s="3">
        <f t="shared" si="6"/>
        <v>52.269168336621846</v>
      </c>
    </row>
    <row r="13" spans="1:19" ht="15.75">
      <c r="O13" s="5">
        <v>14</v>
      </c>
      <c r="P13" s="5">
        <f t="shared" si="3"/>
        <v>140.871736</v>
      </c>
      <c r="Q13">
        <f t="shared" si="4"/>
        <v>285.5691248</v>
      </c>
      <c r="R13" s="3">
        <f t="shared" si="5"/>
        <v>0.77197099532278857</v>
      </c>
      <c r="S13" s="3">
        <f t="shared" si="6"/>
        <v>51.797042061578765</v>
      </c>
    </row>
    <row r="14" spans="1:19" ht="15.75">
      <c r="E14" s="3"/>
      <c r="F14" s="3"/>
      <c r="O14" s="5">
        <v>16</v>
      </c>
      <c r="P14" s="5">
        <f t="shared" si="3"/>
        <v>143.76705600000003</v>
      </c>
      <c r="Q14">
        <f t="shared" si="4"/>
        <v>290.78070080000003</v>
      </c>
      <c r="R14" s="3">
        <f t="shared" si="5"/>
        <v>0.77374756344096607</v>
      </c>
      <c r="S14" s="3">
        <f t="shared" si="6"/>
        <v>51.376181697722274</v>
      </c>
    </row>
    <row r="15" spans="1:19" ht="15.75">
      <c r="A15" t="s">
        <v>11</v>
      </c>
      <c r="O15" s="5">
        <v>18</v>
      </c>
      <c r="P15" s="5">
        <f t="shared" si="3"/>
        <v>146.373096</v>
      </c>
      <c r="Q15">
        <f t="shared" si="4"/>
        <v>295.47157279999999</v>
      </c>
      <c r="R15" s="3">
        <f t="shared" si="5"/>
        <v>0.7753395775302323</v>
      </c>
      <c r="S15" s="3">
        <f t="shared" si="6"/>
        <v>51.000679832099223</v>
      </c>
    </row>
    <row r="16" spans="1:19" ht="15.75">
      <c r="J16" s="3" t="s">
        <v>0</v>
      </c>
      <c r="K16" s="3" t="s">
        <v>2</v>
      </c>
      <c r="L16" s="3" t="s">
        <v>6</v>
      </c>
      <c r="O16" s="5">
        <v>20</v>
      </c>
      <c r="P16" s="5">
        <f t="shared" si="3"/>
        <v>148.72000000000003</v>
      </c>
      <c r="Q16">
        <f t="shared" si="4"/>
        <v>299.69600000000008</v>
      </c>
      <c r="R16" s="3">
        <f t="shared" si="5"/>
        <v>0.77676762887048201</v>
      </c>
      <c r="S16" s="3">
        <f t="shared" si="6"/>
        <v>50.665160777565916</v>
      </c>
    </row>
    <row r="17" spans="1:19" ht="17.25">
      <c r="A17" t="s">
        <v>12</v>
      </c>
      <c r="E17">
        <f>(F6+F7+F8+F9+F10)/5</f>
        <v>327.99200000000002</v>
      </c>
      <c r="F17" t="s">
        <v>24</v>
      </c>
      <c r="G17">
        <f>ROUND(5/9*(E17-32),2)</f>
        <v>164.44</v>
      </c>
      <c r="H17" s="3" t="s">
        <v>27</v>
      </c>
      <c r="J17" s="3" t="s">
        <v>1</v>
      </c>
      <c r="K17" s="3" t="s">
        <v>27</v>
      </c>
      <c r="L17" s="3" t="s">
        <v>27</v>
      </c>
      <c r="O17" s="5">
        <v>22</v>
      </c>
      <c r="P17" s="5">
        <f t="shared" si="3"/>
        <v>150.83637600000003</v>
      </c>
      <c r="Q17">
        <f t="shared" si="4"/>
        <v>303.50547680000005</v>
      </c>
      <c r="R17" s="3">
        <f t="shared" si="5"/>
        <v>0.77805085271801311</v>
      </c>
      <c r="S17" s="3">
        <f t="shared" si="6"/>
        <v>50.364719389085309</v>
      </c>
    </row>
    <row r="18" spans="1:19" ht="15.75">
      <c r="J18" s="3">
        <v>0</v>
      </c>
      <c r="K18">
        <f t="shared" ref="K18:K24" si="7">J5</f>
        <v>109.31</v>
      </c>
      <c r="L18">
        <f>E5</f>
        <v>138</v>
      </c>
      <c r="O18" s="5">
        <v>24</v>
      </c>
      <c r="P18" s="5">
        <f t="shared" si="3"/>
        <v>152.74929600000002</v>
      </c>
      <c r="Q18">
        <f t="shared" si="4"/>
        <v>306.94873280000002</v>
      </c>
      <c r="R18" s="3">
        <f t="shared" si="5"/>
        <v>0.77920702912579209</v>
      </c>
      <c r="S18" s="3">
        <f t="shared" si="6"/>
        <v>50.094871081632391</v>
      </c>
    </row>
    <row r="19" spans="1:19" ht="15.75">
      <c r="A19" t="s">
        <v>13</v>
      </c>
      <c r="E19">
        <f>(F10-F6)/80</f>
        <v>0.6412500000000001</v>
      </c>
      <c r="J19" s="3">
        <v>10</v>
      </c>
      <c r="K19">
        <f t="shared" si="7"/>
        <v>134.96</v>
      </c>
      <c r="L19">
        <f t="shared" ref="L19:L24" si="8">E6</f>
        <v>149.6</v>
      </c>
      <c r="O19" s="5">
        <v>26</v>
      </c>
      <c r="P19" s="5">
        <f t="shared" si="3"/>
        <v>154.484296</v>
      </c>
      <c r="Q19">
        <f t="shared" si="4"/>
        <v>310.07173280000001</v>
      </c>
      <c r="R19" s="3">
        <f t="shared" si="5"/>
        <v>0.7802526661710909</v>
      </c>
      <c r="S19" s="3">
        <f t="shared" si="6"/>
        <v>49.8515110360064</v>
      </c>
    </row>
    <row r="20" spans="1:19" ht="15.75">
      <c r="J20" s="3">
        <v>30</v>
      </c>
      <c r="K20">
        <f t="shared" si="7"/>
        <v>155.29</v>
      </c>
      <c r="L20">
        <f t="shared" si="8"/>
        <v>158.80000000000001</v>
      </c>
      <c r="O20" s="5">
        <v>28</v>
      </c>
      <c r="P20" s="5">
        <f t="shared" si="3"/>
        <v>156.06537600000001</v>
      </c>
      <c r="Q20">
        <f t="shared" si="4"/>
        <v>312.91767680000004</v>
      </c>
      <c r="R20" s="3">
        <f t="shared" si="5"/>
        <v>0.78120306843169185</v>
      </c>
      <c r="S20" s="3">
        <f t="shared" si="6"/>
        <v>49.630880968080476</v>
      </c>
    </row>
    <row r="21" spans="1:19" ht="15.75">
      <c r="A21" t="s">
        <v>14</v>
      </c>
      <c r="J21" s="3">
        <v>50</v>
      </c>
      <c r="K21">
        <f t="shared" si="7"/>
        <v>168.1</v>
      </c>
      <c r="L21">
        <f t="shared" si="8"/>
        <v>165.8</v>
      </c>
      <c r="O21" s="5">
        <v>30</v>
      </c>
      <c r="P21" s="5">
        <f t="shared" si="3"/>
        <v>157.51500000000001</v>
      </c>
      <c r="Q21">
        <f t="shared" si="4"/>
        <v>315.52700000000004</v>
      </c>
      <c r="R21" s="3">
        <f t="shared" si="5"/>
        <v>0.78207239309170717</v>
      </c>
      <c r="S21" s="3">
        <f t="shared" si="6"/>
        <v>49.429542136909902</v>
      </c>
    </row>
    <row r="22" spans="1:19" ht="15.75">
      <c r="J22" s="3">
        <v>70</v>
      </c>
      <c r="K22">
        <f t="shared" si="7"/>
        <v>175.33</v>
      </c>
      <c r="L22">
        <f t="shared" si="8"/>
        <v>169.9</v>
      </c>
      <c r="O22" s="5">
        <v>32</v>
      </c>
      <c r="P22" s="5">
        <f t="shared" si="3"/>
        <v>158.85409600000003</v>
      </c>
      <c r="Q22">
        <f t="shared" si="4"/>
        <v>317.93737280000005</v>
      </c>
      <c r="R22" s="3">
        <f t="shared" si="5"/>
        <v>0.78287369569142873</v>
      </c>
      <c r="S22" s="3">
        <f t="shared" si="6"/>
        <v>49.244353500123879</v>
      </c>
    </row>
    <row r="23" spans="1:19" ht="15.75">
      <c r="A23" s="1" t="s">
        <v>15</v>
      </c>
      <c r="J23" s="3">
        <v>90</v>
      </c>
      <c r="K23">
        <f t="shared" si="7"/>
        <v>188.94</v>
      </c>
      <c r="L23">
        <f t="shared" si="8"/>
        <v>178.1</v>
      </c>
      <c r="O23" s="5">
        <v>34</v>
      </c>
      <c r="P23" s="5">
        <f t="shared" si="3"/>
        <v>160.102056</v>
      </c>
      <c r="Q23">
        <f t="shared" si="4"/>
        <v>320.1837008</v>
      </c>
      <c r="R23" s="3">
        <f t="shared" si="5"/>
        <v>0.78361896724038849</v>
      </c>
      <c r="S23" s="3">
        <f t="shared" si="6"/>
        <v>49.072454107778725</v>
      </c>
    </row>
    <row r="24" spans="1:19" ht="15.75">
      <c r="J24" s="3">
        <v>95</v>
      </c>
      <c r="K24">
        <f t="shared" si="7"/>
        <v>189.64</v>
      </c>
      <c r="L24">
        <f t="shared" si="8"/>
        <v>180.4</v>
      </c>
      <c r="O24" s="5">
        <v>36</v>
      </c>
      <c r="P24" s="5">
        <f t="shared" si="3"/>
        <v>161.27673600000003</v>
      </c>
      <c r="Q24">
        <f t="shared" si="4"/>
        <v>322.29812480000004</v>
      </c>
      <c r="R24" s="3">
        <f t="shared" si="5"/>
        <v>0.78431916417216785</v>
      </c>
      <c r="S24" s="3">
        <f t="shared" si="6"/>
        <v>48.911248970755707</v>
      </c>
    </row>
    <row r="25" spans="1:19" ht="15.75">
      <c r="A25" s="1" t="s">
        <v>16</v>
      </c>
      <c r="E25">
        <f>EXP(-0.944202-0.00865*(E17-32)^0.6667+2.99791*(E19^0.333))</f>
        <v>3.515311963163124</v>
      </c>
      <c r="O25" s="5">
        <v>38</v>
      </c>
      <c r="P25" s="5">
        <f t="shared" si="3"/>
        <v>162.39445600000002</v>
      </c>
      <c r="Q25">
        <f t="shared" si="4"/>
        <v>324.31002080000002</v>
      </c>
      <c r="R25" s="3">
        <f t="shared" si="5"/>
        <v>0.78498423242043947</v>
      </c>
      <c r="S25" s="3">
        <f t="shared" si="6"/>
        <v>48.758397756214123</v>
      </c>
    </row>
    <row r="26" spans="1:19" ht="15.75">
      <c r="O26" s="5">
        <v>40</v>
      </c>
      <c r="P26" s="5">
        <f t="shared" si="3"/>
        <v>163.47000000000003</v>
      </c>
      <c r="Q26">
        <f t="shared" si="4"/>
        <v>326.24600000000004</v>
      </c>
      <c r="R26" s="3">
        <f t="shared" si="5"/>
        <v>0.78562312672828594</v>
      </c>
      <c r="S26" s="3">
        <f t="shared" si="6"/>
        <v>48.611805757646579</v>
      </c>
    </row>
    <row r="27" spans="1:19" ht="15.75">
      <c r="A27" t="s">
        <v>17</v>
      </c>
      <c r="O27" s="5">
        <v>42</v>
      </c>
      <c r="P27" s="5">
        <f t="shared" si="3"/>
        <v>164.51661600000003</v>
      </c>
      <c r="Q27">
        <f t="shared" si="4"/>
        <v>328.12990880000007</v>
      </c>
      <c r="R27" s="3">
        <f t="shared" si="5"/>
        <v>0.78624382615921651</v>
      </c>
      <c r="S27" s="3">
        <f t="shared" si="6"/>
        <v>48.469616666148369</v>
      </c>
    </row>
    <row r="28" spans="1:19" ht="15.75">
      <c r="O28" s="5">
        <v>44</v>
      </c>
      <c r="P28" s="5">
        <f t="shared" si="3"/>
        <v>165.54601600000001</v>
      </c>
      <c r="Q28">
        <f t="shared" si="4"/>
        <v>329.98282880000005</v>
      </c>
      <c r="R28" s="3">
        <f t="shared" si="5"/>
        <v>0.78685334665252737</v>
      </c>
      <c r="S28" s="3">
        <f t="shared" si="6"/>
        <v>48.330206736714899</v>
      </c>
    </row>
    <row r="29" spans="1:19" ht="17.25">
      <c r="A29" t="s">
        <v>18</v>
      </c>
      <c r="E29">
        <f>E17-E25</f>
        <v>324.47668803683689</v>
      </c>
      <c r="F29" t="s">
        <v>24</v>
      </c>
      <c r="G29">
        <f>ROUND(5/9*(E29-32),2)</f>
        <v>162.49</v>
      </c>
      <c r="H29" s="3" t="s">
        <v>27</v>
      </c>
      <c r="O29" s="5">
        <v>46</v>
      </c>
      <c r="P29" s="5">
        <f t="shared" si="3"/>
        <v>166.56837600000003</v>
      </c>
      <c r="Q29">
        <f t="shared" si="4"/>
        <v>331.82307680000008</v>
      </c>
      <c r="R29" s="3">
        <f t="shared" si="5"/>
        <v>0.78745775135306584</v>
      </c>
      <c r="S29" s="3">
        <f t="shared" si="6"/>
        <v>48.192180001866319</v>
      </c>
    </row>
    <row r="30" spans="1:19" ht="15.75">
      <c r="O30" s="5">
        <v>48</v>
      </c>
      <c r="P30" s="5">
        <f t="shared" si="3"/>
        <v>167.59233599999999</v>
      </c>
      <c r="Q30">
        <f t="shared" si="4"/>
        <v>333.6662048</v>
      </c>
      <c r="R30" s="3">
        <f t="shared" si="5"/>
        <v>0.78806215934259538</v>
      </c>
      <c r="S30" s="3">
        <f t="shared" si="6"/>
        <v>48.054364237003682</v>
      </c>
    </row>
    <row r="31" spans="1:19" ht="17.25">
      <c r="A31" t="s">
        <v>23</v>
      </c>
      <c r="E31">
        <v>45.2</v>
      </c>
      <c r="O31" s="5">
        <v>50</v>
      </c>
      <c r="P31" s="5">
        <f t="shared" si="3"/>
        <v>168.625</v>
      </c>
      <c r="Q31">
        <f t="shared" si="4"/>
        <v>335.52500000000003</v>
      </c>
      <c r="R31" s="3">
        <f t="shared" si="5"/>
        <v>0.78867075330417025</v>
      </c>
      <c r="S31" s="3">
        <f t="shared" si="6"/>
        <v>47.915807429373587</v>
      </c>
    </row>
    <row r="32" spans="1:19" ht="15.75">
      <c r="O32" s="5">
        <v>52</v>
      </c>
      <c r="P32" s="5">
        <f t="shared" si="3"/>
        <v>169.67193599999996</v>
      </c>
      <c r="Q32">
        <f t="shared" si="4"/>
        <v>337.40948479999992</v>
      </c>
      <c r="R32" s="3">
        <f t="shared" si="5"/>
        <v>0.78928678656036988</v>
      </c>
      <c r="S32" s="3">
        <f t="shared" si="6"/>
        <v>47.775774546590782</v>
      </c>
    </row>
    <row r="33" spans="1:19" ht="15.75">
      <c r="A33" t="s">
        <v>19</v>
      </c>
      <c r="E33">
        <f>ROUND(141.5/(E31+131.5),3)</f>
        <v>0.80100000000000005</v>
      </c>
      <c r="O33" s="5">
        <v>54</v>
      </c>
      <c r="P33" s="5">
        <f t="shared" si="3"/>
        <v>170.73717600000001</v>
      </c>
      <c r="Q33">
        <f t="shared" si="4"/>
        <v>339.32691679999999</v>
      </c>
      <c r="R33" s="3">
        <f t="shared" si="5"/>
        <v>0.78991258983959112</v>
      </c>
      <c r="S33" s="3">
        <f t="shared" si="6"/>
        <v>47.633744442197894</v>
      </c>
    </row>
    <row r="34" spans="1:19" ht="15.75">
      <c r="O34" s="5">
        <v>56</v>
      </c>
      <c r="P34" s="5">
        <f t="shared" si="3"/>
        <v>171.82321599999997</v>
      </c>
      <c r="Q34">
        <f t="shared" si="4"/>
        <v>341.28178879999996</v>
      </c>
      <c r="R34" s="3">
        <f t="shared" si="5"/>
        <v>0.79054957804105408</v>
      </c>
      <c r="S34" s="3">
        <f t="shared" si="6"/>
        <v>47.489406775259511</v>
      </c>
    </row>
    <row r="35" spans="1:19" ht="15.75">
      <c r="A35" t="s">
        <v>20</v>
      </c>
      <c r="E35">
        <f>ROUND((E29+460)^0.333/E33,2)</f>
        <v>11.49</v>
      </c>
      <c r="O35" s="5">
        <v>58</v>
      </c>
      <c r="P35" s="5">
        <f t="shared" si="3"/>
        <v>172.931016</v>
      </c>
      <c r="Q35">
        <f t="shared" si="4"/>
        <v>343.2758288</v>
      </c>
      <c r="R35" s="3">
        <f t="shared" si="5"/>
        <v>0.7911982571882934</v>
      </c>
      <c r="S35" s="3">
        <f t="shared" si="6"/>
        <v>47.342658858796142</v>
      </c>
    </row>
    <row r="36" spans="1:19" ht="15.75">
      <c r="O36" s="5">
        <v>60</v>
      </c>
      <c r="P36" s="5">
        <f t="shared" si="3"/>
        <v>174.06000000000003</v>
      </c>
      <c r="Q36">
        <f t="shared" si="4"/>
        <v>345.30800000000005</v>
      </c>
      <c r="R36" s="3">
        <f t="shared" si="5"/>
        <v>0.79185823168250946</v>
      </c>
      <c r="S36" s="3">
        <f t="shared" si="6"/>
        <v>47.193602388076869</v>
      </c>
    </row>
    <row r="37" spans="1:19" ht="15.75">
      <c r="O37" s="5">
        <v>62</v>
      </c>
      <c r="P37" s="5">
        <f t="shared" si="3"/>
        <v>175.20805599999997</v>
      </c>
      <c r="Q37">
        <f t="shared" si="4"/>
        <v>347.37450079999996</v>
      </c>
      <c r="R37" s="3">
        <f t="shared" si="5"/>
        <v>0.79252821189124822</v>
      </c>
      <c r="S37" s="3">
        <f t="shared" si="6"/>
        <v>47.042540034419403</v>
      </c>
    </row>
    <row r="38" spans="1:19" ht="15.75">
      <c r="O38" s="5">
        <v>64</v>
      </c>
      <c r="P38" s="5">
        <f t="shared" si="3"/>
        <v>176.37153600000002</v>
      </c>
      <c r="Q38">
        <f t="shared" si="4"/>
        <v>349.46876480000003</v>
      </c>
      <c r="R38" s="3">
        <f t="shared" si="5"/>
        <v>0.79320602203460355</v>
      </c>
      <c r="S38" s="3">
        <f t="shared" si="6"/>
        <v>46.88997192311669</v>
      </c>
    </row>
    <row r="39" spans="1:19" ht="15.75">
      <c r="O39" s="5">
        <v>66</v>
      </c>
      <c r="P39" s="5">
        <f t="shared" si="3"/>
        <v>177.54525600000002</v>
      </c>
      <c r="Q39">
        <f t="shared" si="4"/>
        <v>351.58146080000006</v>
      </c>
      <c r="R39" s="3">
        <f t="shared" si="5"/>
        <v>0.79388860826062901</v>
      </c>
      <c r="S39" s="3">
        <f t="shared" si="6"/>
        <v>46.736592045349482</v>
      </c>
    </row>
    <row r="40" spans="1:19" ht="15.75">
      <c r="O40" s="5">
        <v>68</v>
      </c>
      <c r="P40" s="5">
        <f t="shared" si="3"/>
        <v>178.72249599999995</v>
      </c>
      <c r="Q40">
        <f t="shared" si="4"/>
        <v>353.70049279999989</v>
      </c>
      <c r="R40" s="3">
        <f t="shared" si="5"/>
        <v>0.79457204673403237</v>
      </c>
      <c r="S40" s="3">
        <f t="shared" si="6"/>
        <v>46.583284683389309</v>
      </c>
    </row>
    <row r="41" spans="1:19" ht="15.75">
      <c r="O41" s="5">
        <v>70</v>
      </c>
      <c r="P41" s="5">
        <f t="shared" si="3"/>
        <v>179.89500000000001</v>
      </c>
      <c r="Q41">
        <f t="shared" si="4"/>
        <v>355.81100000000004</v>
      </c>
      <c r="R41" s="3">
        <f t="shared" si="5"/>
        <v>0.79525155149749682</v>
      </c>
      <c r="S41" s="3">
        <f t="shared" si="6"/>
        <v>46.431120956065683</v>
      </c>
    </row>
    <row r="42" spans="1:19" ht="15.75">
      <c r="O42" s="5">
        <v>72</v>
      </c>
      <c r="P42" s="5">
        <f t="shared" si="3"/>
        <v>181.05297600000003</v>
      </c>
      <c r="Q42">
        <f t="shared" si="4"/>
        <v>357.89535680000006</v>
      </c>
      <c r="R42" s="3">
        <f t="shared" si="5"/>
        <v>0.79592148180300459</v>
      </c>
      <c r="S42" s="3">
        <f t="shared" si="6"/>
        <v>46.281355617465437</v>
      </c>
    </row>
    <row r="43" spans="1:19" ht="15.75">
      <c r="O43" s="5">
        <v>74</v>
      </c>
      <c r="P43" s="5">
        <f t="shared" si="3"/>
        <v>182.18509599999999</v>
      </c>
      <c r="Q43">
        <f t="shared" si="4"/>
        <v>359.93317279999997</v>
      </c>
      <c r="R43" s="3">
        <f t="shared" si="5"/>
        <v>0.79657534855093781</v>
      </c>
      <c r="S43" s="3">
        <f t="shared" si="6"/>
        <v>46.13542426639836</v>
      </c>
    </row>
    <row r="44" spans="1:19" ht="15.75">
      <c r="O44" s="5">
        <v>76</v>
      </c>
      <c r="P44" s="5">
        <f t="shared" si="3"/>
        <v>183.27849599999999</v>
      </c>
      <c r="Q44">
        <f t="shared" si="4"/>
        <v>361.90129279999996</v>
      </c>
      <c r="R44" s="3">
        <f t="shared" si="5"/>
        <v>0.79720581941689073</v>
      </c>
      <c r="S44" s="3">
        <f t="shared" si="6"/>
        <v>45.994941147693766</v>
      </c>
    </row>
    <row r="45" spans="1:19" ht="15.75">
      <c r="O45" s="5">
        <v>78</v>
      </c>
      <c r="P45" s="5">
        <f t="shared" si="3"/>
        <v>184.31877600000001</v>
      </c>
      <c r="Q45">
        <f t="shared" si="4"/>
        <v>363.77379680000001</v>
      </c>
      <c r="R45" s="3">
        <f t="shared" si="5"/>
        <v>0.79780472218912368</v>
      </c>
      <c r="S45" s="3">
        <f t="shared" si="6"/>
        <v>45.861697749460916</v>
      </c>
    </row>
    <row r="46" spans="1:19" ht="15.75">
      <c r="O46" s="5">
        <v>80</v>
      </c>
      <c r="P46" s="5">
        <f t="shared" si="3"/>
        <v>185.29000000000005</v>
      </c>
      <c r="Q46">
        <f t="shared" si="4"/>
        <v>365.52200000000011</v>
      </c>
      <c r="R46" s="3">
        <f t="shared" si="5"/>
        <v>0.79836304578213813</v>
      </c>
      <c r="S46" s="3">
        <f t="shared" si="6"/>
        <v>45.737662423835843</v>
      </c>
    </row>
    <row r="47" spans="1:19" ht="15.75">
      <c r="O47" s="5">
        <v>82</v>
      </c>
      <c r="P47" s="5">
        <f t="shared" si="3"/>
        <v>186.17469600000001</v>
      </c>
      <c r="Q47">
        <f t="shared" si="4"/>
        <v>367.11445280000004</v>
      </c>
      <c r="R47" s="3">
        <f t="shared" si="5"/>
        <v>0.79887093833228295</v>
      </c>
      <c r="S47" s="3">
        <f t="shared" si="6"/>
        <v>45.624981283452797</v>
      </c>
    </row>
    <row r="48" spans="1:19" ht="15.75">
      <c r="O48" s="5">
        <v>84</v>
      </c>
      <c r="P48" s="5">
        <f t="shared" si="3"/>
        <v>186.953856</v>
      </c>
      <c r="Q48">
        <f t="shared" si="4"/>
        <v>368.51694079999999</v>
      </c>
      <c r="R48" s="3">
        <f t="shared" si="5"/>
        <v>0.79931770171755212</v>
      </c>
      <c r="S48" s="3">
        <f t="shared" si="6"/>
        <v>45.5259806531854</v>
      </c>
    </row>
    <row r="49" spans="15:19" ht="15.75">
      <c r="O49" s="5">
        <v>86</v>
      </c>
      <c r="P49" s="5">
        <f t="shared" si="3"/>
        <v>187.60693599999993</v>
      </c>
      <c r="Q49">
        <f t="shared" si="4"/>
        <v>369.69248479999987</v>
      </c>
      <c r="R49" s="3">
        <f t="shared" si="5"/>
        <v>0.79969178177308009</v>
      </c>
      <c r="S49" s="3">
        <f t="shared" si="6"/>
        <v>45.443171388188574</v>
      </c>
    </row>
    <row r="50" spans="15:19" ht="15.75">
      <c r="O50" s="5">
        <v>88</v>
      </c>
      <c r="P50" s="5">
        <f t="shared" si="3"/>
        <v>188.11185599999996</v>
      </c>
      <c r="Q50">
        <f t="shared" si="4"/>
        <v>370.60134079999995</v>
      </c>
      <c r="R50" s="3">
        <f t="shared" si="5"/>
        <v>0.79998075339318797</v>
      </c>
      <c r="S50" s="3">
        <f t="shared" si="6"/>
        <v>45.379255406852536</v>
      </c>
    </row>
    <row r="51" spans="15:19" ht="15.75">
      <c r="O51" s="5">
        <v>90</v>
      </c>
      <c r="P51" s="5">
        <f t="shared" si="3"/>
        <v>188.44500000000008</v>
      </c>
      <c r="Q51">
        <f t="shared" si="4"/>
        <v>371.20100000000014</v>
      </c>
      <c r="R51" s="3">
        <f t="shared" si="5"/>
        <v>0.8001712996160858</v>
      </c>
      <c r="S51" s="3">
        <f t="shared" si="6"/>
        <v>45.337134833366662</v>
      </c>
    </row>
    <row r="52" spans="15:19" ht="15.75">
      <c r="O52" s="5">
        <v>92</v>
      </c>
      <c r="P52" s="5">
        <f t="shared" si="3"/>
        <v>188.58121600000007</v>
      </c>
      <c r="Q52">
        <f t="shared" si="4"/>
        <v>371.44618880000013</v>
      </c>
      <c r="R52" s="3">
        <f t="shared" si="5"/>
        <v>0.80024918367373854</v>
      </c>
      <c r="S52" s="3">
        <f t="shared" si="6"/>
        <v>45.319924202121427</v>
      </c>
    </row>
    <row r="53" spans="15:19" ht="15.75">
      <c r="O53" s="5">
        <v>94</v>
      </c>
      <c r="P53" s="5">
        <f t="shared" si="3"/>
        <v>188.49381599999995</v>
      </c>
      <c r="Q53">
        <f t="shared" si="4"/>
        <v>371.28886879999993</v>
      </c>
      <c r="R53" s="3">
        <f t="shared" si="5"/>
        <v>0.80019921285089701</v>
      </c>
      <c r="S53" s="3">
        <f t="shared" si="6"/>
        <v>45.330966248858374</v>
      </c>
    </row>
    <row r="54" spans="15:19" ht="15.75">
      <c r="O54" s="5">
        <v>96</v>
      </c>
      <c r="P54" s="5">
        <f t="shared" si="3"/>
        <v>188.15457599999993</v>
      </c>
      <c r="Q54">
        <f t="shared" si="4"/>
        <v>370.67823679999987</v>
      </c>
      <c r="R54" s="3">
        <f t="shared" si="5"/>
        <v>0.80000519282647142</v>
      </c>
      <c r="S54" s="3">
        <f t="shared" si="6"/>
        <v>45.373851905974647</v>
      </c>
    </row>
    <row r="55" spans="15:19" ht="15.75">
      <c r="O55" s="5">
        <v>98</v>
      </c>
      <c r="P55" s="5">
        <f t="shared" si="3"/>
        <v>187.53373600000012</v>
      </c>
      <c r="Q55">
        <f t="shared" si="4"/>
        <v>369.56072480000023</v>
      </c>
      <c r="R55" s="3">
        <f t="shared" si="5"/>
        <v>0.79964987095786433</v>
      </c>
      <c r="S55" s="3">
        <f t="shared" si="6"/>
        <v>45.452445237693297</v>
      </c>
    </row>
    <row r="56" spans="15:19" ht="15.75">
      <c r="O56" s="5">
        <v>100</v>
      </c>
      <c r="P56" s="5">
        <f t="shared" si="3"/>
        <v>186.6</v>
      </c>
      <c r="Q56">
        <f t="shared" si="4"/>
        <v>367.88</v>
      </c>
      <c r="R56" s="3">
        <f t="shared" si="5"/>
        <v>0.79911486670276244</v>
      </c>
      <c r="S56" s="3">
        <f t="shared" si="6"/>
        <v>45.57091420266633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Riazi and Daubert method</vt:lpstr>
      <vt:lpstr>Daubert method</vt:lpstr>
      <vt:lpstr>Sheet3</vt:lpstr>
      <vt:lpstr>Sheet4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A.K. Coker</cp:lastModifiedBy>
  <dcterms:created xsi:type="dcterms:W3CDTF">2016-02-23T00:59:36Z</dcterms:created>
  <dcterms:modified xsi:type="dcterms:W3CDTF">2016-04-21T23:54:08Z</dcterms:modified>
</cp:coreProperties>
</file>